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5955" windowWidth="15480" windowHeight="6000" activeTab="0"/>
  </bookViews>
  <sheets>
    <sheet name="2011 Yılı Enerji Yatırımları" sheetId="1" r:id="rId1"/>
  </sheets>
  <definedNames>
    <definedName name="_xlnm._FilterDatabase" localSheetId="0" hidden="1">'2011 Yılı Enerji Yatırımları'!$A$3:$I$134</definedName>
  </definedNames>
  <calcPr fullCalcOnLoad="1"/>
</workbook>
</file>

<file path=xl/comments1.xml><?xml version="1.0" encoding="utf-8"?>
<comments xmlns="http://schemas.openxmlformats.org/spreadsheetml/2006/main">
  <authors>
    <author>enerji</author>
  </authors>
  <commentList>
    <comment ref="H95" authorId="0">
      <text>
        <r>
          <rPr>
            <sz val="9"/>
            <rFont val="Tahoma"/>
            <family val="2"/>
          </rPr>
          <t xml:space="preserve">İlave kurulu güç 07.10.2011 tarihinde yapılan geçici kabule eklenmiştir.
</t>
        </r>
      </text>
    </comment>
    <comment ref="H42" authorId="0">
      <text>
        <r>
          <rPr>
            <sz val="9"/>
            <rFont val="Tahoma"/>
            <family val="2"/>
          </rPr>
          <t>Kurulu güç ilavesi olmamıştır.</t>
        </r>
      </text>
    </comment>
  </commentList>
</comments>
</file>

<file path=xl/sharedStrings.xml><?xml version="1.0" encoding="utf-8"?>
<sst xmlns="http://schemas.openxmlformats.org/spreadsheetml/2006/main" count="541" uniqueCount="255">
  <si>
    <t>SIRA NO</t>
  </si>
  <si>
    <t>ŞİRKET ADI</t>
  </si>
  <si>
    <t>YAKIT CİNSİ</t>
  </si>
  <si>
    <r>
      <t>ÜNİTE GÜCÜ MW</t>
    </r>
    <r>
      <rPr>
        <b/>
        <vertAlign val="subscript"/>
        <sz val="10"/>
        <rFont val="Arial"/>
        <family val="2"/>
      </rPr>
      <t>e</t>
    </r>
  </si>
  <si>
    <t>ÜNİTE SAYISI</t>
  </si>
  <si>
    <t xml:space="preserve">  GEÇİCİ KABULTARİHİ</t>
  </si>
  <si>
    <t>HES</t>
  </si>
  <si>
    <t>LNG</t>
  </si>
  <si>
    <t>KÜTAHYA</t>
  </si>
  <si>
    <t>DG</t>
  </si>
  <si>
    <t>1BT</t>
  </si>
  <si>
    <t>RES</t>
  </si>
  <si>
    <t>AYDIN</t>
  </si>
  <si>
    <t>NİSAN ELEKTROMEKANİK ENERJİ SAN. VE TİC. A.Ş.</t>
  </si>
  <si>
    <t>ÇÖP GAZI</t>
  </si>
  <si>
    <t>ZORLU ENERJİ ELEKTRİK ÜRETİM A.Ş.</t>
  </si>
  <si>
    <t>KIRKLARELİ</t>
  </si>
  <si>
    <t>İNNORES ELEKTRİK ÜRETİM A.Ş.</t>
  </si>
  <si>
    <t>TOKAT</t>
  </si>
  <si>
    <t>JEOTERMAL</t>
  </si>
  <si>
    <t>FO</t>
  </si>
  <si>
    <t>KURULU GÜCÜ MW</t>
  </si>
  <si>
    <t xml:space="preserve"> KABUL ADET </t>
  </si>
  <si>
    <t xml:space="preserve">DG </t>
  </si>
  <si>
    <t>İTHAL KÖMÜR</t>
  </si>
  <si>
    <t>TOPLAM:</t>
  </si>
  <si>
    <t>İL</t>
  </si>
  <si>
    <t>SANTRAL ADI</t>
  </si>
  <si>
    <t>MOSB ENERJİ ELEKTRİK ÜRETİM LTD. ŞTİ.</t>
  </si>
  <si>
    <t>ENERJİSA ENERJİ ÜRETİM A.Ş.</t>
  </si>
  <si>
    <t>MENGE BARAJI VE HİDROELEKTRİK BARAJI</t>
  </si>
  <si>
    <t>MANİSA</t>
  </si>
  <si>
    <t>ADANA</t>
  </si>
  <si>
    <t xml:space="preserve">HES  </t>
  </si>
  <si>
    <t>ADO MADENCİLİK ELEKTRİK ÜRETİM SAN. VE TİC. A.Ş.</t>
  </si>
  <si>
    <t>KOZDERE HİDROELEKTRİK SANTRALİ</t>
  </si>
  <si>
    <t>ANTALYA</t>
  </si>
  <si>
    <t>SOMA ENERJİ ELEKTRİK ÜRETİM A.Ş.</t>
  </si>
  <si>
    <t>BALIKESİR</t>
  </si>
  <si>
    <t>GAZİANTEP</t>
  </si>
  <si>
    <t>2GM</t>
  </si>
  <si>
    <t>SİVAS</t>
  </si>
  <si>
    <t>GİRESUN</t>
  </si>
  <si>
    <t>2GT</t>
  </si>
  <si>
    <t>AYDEMİR ELEKTRİK ÜRETİM A.Ş.</t>
  </si>
  <si>
    <t>ÇUKURÇAYI HİDROELEKTRİK SANTRALİ</t>
  </si>
  <si>
    <t>ISPARTA</t>
  </si>
  <si>
    <t>1GM</t>
  </si>
  <si>
    <t>SAMSUN</t>
  </si>
  <si>
    <t>KAHRAMANMARAŞ</t>
  </si>
  <si>
    <t>ANKARA</t>
  </si>
  <si>
    <t>İZMİR</t>
  </si>
  <si>
    <t>CAN ENERJİ ENTEGRE ELEKTRİK ÜRETİM A.Ş.</t>
  </si>
  <si>
    <t>BİLECİK</t>
  </si>
  <si>
    <t>BURSA</t>
  </si>
  <si>
    <t>KONYA</t>
  </si>
  <si>
    <t>AMASYA</t>
  </si>
  <si>
    <t>KAYSERİ</t>
  </si>
  <si>
    <t>MUĞLA</t>
  </si>
  <si>
    <t>AKSA AKRİLİK KİMYA SAN. A.Ş.</t>
  </si>
  <si>
    <t>SENENERJİ ENERJİ ÜRETİM A.Ş.</t>
  </si>
  <si>
    <t>YALOVA</t>
  </si>
  <si>
    <t>DÜZCE</t>
  </si>
  <si>
    <t>ERZURUM</t>
  </si>
  <si>
    <t>İTHAL KÖMÜR/DG</t>
  </si>
  <si>
    <t>ARMAHES ELEKTRİK ÜRETİM A.Ş.</t>
  </si>
  <si>
    <t>TRABZON</t>
  </si>
  <si>
    <t>ZONGULDAK</t>
  </si>
  <si>
    <t>VAN</t>
  </si>
  <si>
    <t>ADIYAMAN</t>
  </si>
  <si>
    <t>MERSİN</t>
  </si>
  <si>
    <t>TOPLAM</t>
  </si>
  <si>
    <t>GALATA WİND ENERJİ LİMİTED ŞİRKETİ</t>
  </si>
  <si>
    <t>İDEAL ENERJİ ÜRETİMİ SAN. VE TİC. A.Ş.</t>
  </si>
  <si>
    <t>AKSU MADENCİLİK SAN. VE ELEKTRİK ÜRETİMİ A.Ş.</t>
  </si>
  <si>
    <t>ALDAŞ ALTYAPI YÖNETİM DANIŞMANLIK ELEKTRİK ENERJİSİ ÜRE. HİZ. SAN. VE TİC. A.Ş.</t>
  </si>
  <si>
    <t>SU-GÜCÜ ELEKTRİK ÜRETİM LTD. ŞTİ.</t>
  </si>
  <si>
    <t>AKGÜN ENERJİ ÜRETİM VE TİC. A.Ş.</t>
  </si>
  <si>
    <t>POLYPLEX EUROPA POLYESTER FİLM SAN. VE TİC. A.Ş.</t>
  </si>
  <si>
    <t>YAŞIL ENERJİ ELEKTRİK ÜRETİM A.Ş.</t>
  </si>
  <si>
    <t>ŞİRİKOĞLU ELEKTRİK ÜRETİM A.Ş.</t>
  </si>
  <si>
    <t>AKHİSAR RÜZGAR ENERJİSİNDEN ELEKTRİK ÜRETİMİ SANTRALI LTD. ŞTİ.</t>
  </si>
  <si>
    <t>ALİAĞA ÇAKMAKTEPE ENERJİ ÜRETİM A.Ş.</t>
  </si>
  <si>
    <t xml:space="preserve">GÜRÜZ ELEKTRİK ÜRETİM LTD. ŞTİ. </t>
  </si>
  <si>
    <t>BEYOBASI ENERJİ ÜRETİMİ A.Ş.</t>
  </si>
  <si>
    <t>KNAUF İNŞ.VE YAPI ELEMANLARI SAN. VE TİC. A.Ş.</t>
  </si>
  <si>
    <t>HASIRCI TEKSTİL TİC. VE SAN. LTD. ŞTİ.</t>
  </si>
  <si>
    <t>YAMAÇ ENERJİ ÜRETİM A.Ş.</t>
  </si>
  <si>
    <t>DORUK ENERJİ ELEKTRİK ÜRETİM A.Ş.</t>
  </si>
  <si>
    <t>RASA ENERJİ ÜRETİM A.Ş.</t>
  </si>
  <si>
    <t xml:space="preserve">LOKMAN HEKİM ENGÜRÜSAĞ SAĞLIK, TURİZM, EĞİTİM HİZMETLERİ VE İNŞAAT TAAHHÜT A.Ş. </t>
  </si>
  <si>
    <t>AKAR ENERJİ SAN. VE TİC. LTD. ŞTİ.</t>
  </si>
  <si>
    <t>BTA ELEKTRİK ENERJİ ÜRETİM VE İNŞ. SAN. TİC. A.Ş.</t>
  </si>
  <si>
    <t>REDEVCO ÜÇ EMLAK GELİŞTİRME İNŞ. YATIRIM TİC. A.Ş.</t>
  </si>
  <si>
    <t>BANDIRMA ENERJİ VE ELEKTRİK ÜRETİM TİC.A.Ş.</t>
  </si>
  <si>
    <t>ÇAMLIKAYA ENERJİ ÜRETİM VE TİC. A.Ş.</t>
  </si>
  <si>
    <t xml:space="preserve">CEV ENERJİ ÜRETİM SAN. VE TİC. LTD. ŞTİ. </t>
  </si>
  <si>
    <t>MURADİYE ELEKTRİK ÜRETİM A.Ş.</t>
  </si>
  <si>
    <t xml:space="preserve">CEV MARMARA ENERJİ ÜRETİM SAN. VE TİC. LTD. ŞTİ. </t>
  </si>
  <si>
    <t>ITC-KA ENERJİ ÜRETİM SAN. VE TİC. A.Ş.</t>
  </si>
  <si>
    <t>BOSEN ENERJİ ELEKTRİK ÜRETİM A.Ş.</t>
  </si>
  <si>
    <t>YEŞİL ENERJİ ELEKTRİK ÜRETİM A.Ş.</t>
  </si>
  <si>
    <t>AKSA ENERJİ ÜRETİM A.Ş.</t>
  </si>
  <si>
    <t>GAZİANTEP ORGANİZE SAN. BÖLGESİ ELEKTRİK ÜRETİM A.Ş.</t>
  </si>
  <si>
    <t>ITC ADANA ENERJİ ÜRETİM SAN. VE TİC. A.Ş.</t>
  </si>
  <si>
    <t>PURE ENERJİ ÜRETİM A.Ş.</t>
  </si>
  <si>
    <t>PEM ENERJİ A.Ş.</t>
  </si>
  <si>
    <t>YEDİGÖL HİDROELEKTRİK ÜRETİM VE TİC. A.Ş.</t>
  </si>
  <si>
    <t>SARAY HALI A.Ş.</t>
  </si>
  <si>
    <t xml:space="preserve">AYRES AYVACIK RÜZGAR ENERJİSİNDEN ELEKTRİK ÜRETİM SANTRALI LTD. ŞTİ </t>
  </si>
  <si>
    <t xml:space="preserve">NİL ÖRME SAN. VE TİC. A.Ş. </t>
  </si>
  <si>
    <t>ODAŞ ELEKTRİK ÜRETİM SAN.TİC.A.Ş.</t>
  </si>
  <si>
    <t>HER ENERJİ VE ÇEVRE TEKNOLOJİLERİ ELEKTRİK ÜRETİM A.Ş.</t>
  </si>
  <si>
    <t>ARSAN ENERJİ A.Ş.</t>
  </si>
  <si>
    <t>MAREN MARAŞ ELK.ÜRT.SAN.VE TİC. A.Ş.</t>
  </si>
  <si>
    <t>BAKİ ELEKTRİK ÜRETİM LTD.ŞTİ.</t>
  </si>
  <si>
    <t>KAREL ELEKTRİK ÜRETİM A.Ş.</t>
  </si>
  <si>
    <t>ZİYARET RES ELEKTRİK ÜRETİM SAN. VE TİC. A.Ş.</t>
  </si>
  <si>
    <t>ESER ENERJİ YATIRIMLARI A.Ş.</t>
  </si>
  <si>
    <t>DÜZCE ENERJİ BİRLİĞİ İMALAT İŞLETME SAN. VE TİC. A.Ş.</t>
  </si>
  <si>
    <t>İÇDAŞ ELEKTRİK ENERJİSİ ÜRETİM VE YATIRIM A.Ş.</t>
  </si>
  <si>
    <t>TİRENDA TİRE ENERJİ ÜRETİM A.Ş.</t>
  </si>
  <si>
    <t>YAPISAN ELEKTRİK ÜRETİM A.Ş.***</t>
  </si>
  <si>
    <t>ÇANAKKALE</t>
  </si>
  <si>
    <t>ERZİNCAN</t>
  </si>
  <si>
    <t>TEKİRDAĞ</t>
  </si>
  <si>
    <t>KARS</t>
  </si>
  <si>
    <t>ŞAH RÜZGAR ENERJİ SANTRALI</t>
  </si>
  <si>
    <t>YAŞIL HİDROELEKTRİK SANTRALI</t>
  </si>
  <si>
    <t>KARASU II HİDROELEKTRİK SANTRALI</t>
  </si>
  <si>
    <t>TEFEN HİDROELEKTRİK SANTRALİ</t>
  </si>
  <si>
    <t>GÖKMEN REGÜLATÖRÜ VE HİDROELEKTRİK SANTRALI</t>
  </si>
  <si>
    <t>YOZGAT</t>
  </si>
  <si>
    <t>ÜZÜMLÜ HİDROELEKTRİK SANTRALI</t>
  </si>
  <si>
    <t>KÖYOBASI HİDROELEKTRİK SANTRALI</t>
  </si>
  <si>
    <t>AKRES RÜZGAR ENERJİSİ SANTRALI</t>
  </si>
  <si>
    <t xml:space="preserve">TUZTAŞI HİDROELEKTRİK SANTRALI </t>
  </si>
  <si>
    <t>OTLUCA-2 HİDROELEKTRİK SANTRALI</t>
  </si>
  <si>
    <t>KOJENERASYON SANTRALI</t>
  </si>
  <si>
    <t>YAMAÇ HİDROELEKTRİK SANTRALI</t>
  </si>
  <si>
    <t>OSMANİYE</t>
  </si>
  <si>
    <t>SEYİTALİ RÜZGAR ENERJİ SANTRALI</t>
  </si>
  <si>
    <t>ŞANLIURFA OSB ENERJİ SANTRALI</t>
  </si>
  <si>
    <t>ŞANLIURFA</t>
  </si>
  <si>
    <t>KARICA REG. VE DARICA 1 HİDROELEKTRİK SANTRALI</t>
  </si>
  <si>
    <t>ORDU</t>
  </si>
  <si>
    <t>SİNCAN HASTAHANESİ TESİSLERİ</t>
  </si>
  <si>
    <t>KARASU 5 HİDROELEKTRİK SANTRALI</t>
  </si>
  <si>
    <t>GORDİON AVM</t>
  </si>
  <si>
    <t>KORUKÖY HİDROELEKTRİK SANTRALI</t>
  </si>
  <si>
    <t>KARASU 4-3 HİDROELEKTRİK SANTRALI</t>
  </si>
  <si>
    <t>BALKONDU I HİDROELEKTRİK SANTRALI</t>
  </si>
  <si>
    <t>ÇAMLIKAYA REGÜLATÖRÜ VE HİDROELEKTRİK SANTALI</t>
  </si>
  <si>
    <t>BANDIRMA RÜZGAR ENERJİ SANTALI</t>
  </si>
  <si>
    <t>GAZİANTEP BÜYÜKŞEHİR BELEDİYESİ ÇÖP TOPLAMA TESİSLERİ BİYOGAZ(ÇÖP GAZI)</t>
  </si>
  <si>
    <t>ÇANAKÇI HİDROELEKTRİK SANTRALI</t>
  </si>
  <si>
    <t>AYRANCILAR HİDROELEKTRİK SANTRALI</t>
  </si>
  <si>
    <t xml:space="preserve">BOLU BELEDİYESİ ÇÖP TOPLAMA TESİSLERİ BİYOGAZ(ÇÖP GAZI) </t>
  </si>
  <si>
    <t>BOLU</t>
  </si>
  <si>
    <t>ASLIM BİYOKÜTLE (ÇÖP GAZI) SANTRALİ</t>
  </si>
  <si>
    <t>DOĞAL GAZ KOMBİNE ÇEVRİM SANTRALI</t>
  </si>
  <si>
    <t>BOĞUNTU HES</t>
  </si>
  <si>
    <t>POYRAZ HİDROELEKTRİK SANTRALI</t>
  </si>
  <si>
    <t>ANTALYA DOĞAL GAZ TERMİK KOMBİNE ÇEVRİM SANTRALI</t>
  </si>
  <si>
    <t>YUNTDAĞ RÜZGAR ENERJİ ÜRETİM SANTRALİ</t>
  </si>
  <si>
    <t>GOREN-1 TERMİK KOJENERASYON SANTRALI</t>
  </si>
  <si>
    <t>BİYOGAZ(ÇÖP GAZI)</t>
  </si>
  <si>
    <t>SEFAKÖY HİDROELEKTRİK SANTRALI</t>
  </si>
  <si>
    <t>YEDİGÖL REGÜLATÖRÜ VE HİDROELEKTRİK SANTRALI</t>
  </si>
  <si>
    <t>KİLLİK RÜZGAR ENERJİ SANTRALİ</t>
  </si>
  <si>
    <t>MAMAK BİYOGAZ(ÇÖP GAZI)</t>
  </si>
  <si>
    <t>OTOPRODÜKTÖR TERMİK -KOJENERASYON SANTRALI</t>
  </si>
  <si>
    <t>AYVACIK RÜZGAR ELEKTRİK SANTRALI</t>
  </si>
  <si>
    <t>TEKİRDAĞ-ÇORLU TEKSTİL TESİSLERİ KOJENERASYON SANTRALİ</t>
  </si>
  <si>
    <t>SOMA RÜZGAR ENERJİ SANTRALI</t>
  </si>
  <si>
    <t>MURATLI REGÜLATÖRÜ VE HİDROELEKTRİK SANTRALI</t>
  </si>
  <si>
    <t>ODAŞ DOĞALGAZ KOMBİNE ÇEVRİM SANTRALİ</t>
  </si>
  <si>
    <t>KAYSERİ KATI ATIK DEPONİ SAHASI BİYOKÜTLE (ÇÖP GAZI) SAHASI</t>
  </si>
  <si>
    <t>KIRAN HİDROELEKTRİK SANTRALİ</t>
  </si>
  <si>
    <t>AYDIN/GERMENCİK JEOTERMAL ENERJİ ELEKTRİK ÜRETİM SANTRALİ</t>
  </si>
  <si>
    <t>ŞAMLI RÜZGAR ENERJİ SANTRALİ</t>
  </si>
  <si>
    <t>MARDİN-KIZILTEPE TERMİK BASİT ÇEVRİM MOTOR ELEKTRİK ÜRETİM SANTRALİ</t>
  </si>
  <si>
    <t>MARDİN</t>
  </si>
  <si>
    <t>SAYAN HİDROELEKTRİK SANTRALİ</t>
  </si>
  <si>
    <t>KARASU 4-2 HİDROELEKTRİK SANTRALI</t>
  </si>
  <si>
    <t>ZİYARET RÜZGAR ENERJİ SANTRALİ</t>
  </si>
  <si>
    <t>HATAY</t>
  </si>
  <si>
    <t>SARIKAVAK HİDROELEKTRİK SANTRALİ</t>
  </si>
  <si>
    <t>HASANLAR KANAL HİDROELEKTRİK SANTRALI</t>
  </si>
  <si>
    <t xml:space="preserve">İTHAL KÖMÜR YAKITLI BEKİRLİ TERMİK ELEKTRİK ÜRETİM SANTRALI </t>
  </si>
  <si>
    <t>DOĞALGAZ MOTOR -GENERATÖR GRUBU</t>
  </si>
  <si>
    <t>İTHAL KÖMÜR + DOĞAL GAZ YAKITLI TERMİK -KONVANSİYONEL +KOJENERASYON ELEKTRİK ÜRETİM SANTRALI</t>
  </si>
  <si>
    <t xml:space="preserve">GAZ MOTORU VE GENERATÖR GRUPLARI </t>
  </si>
  <si>
    <t>1,518+0,758</t>
  </si>
  <si>
    <t>0,75+0,32</t>
  </si>
  <si>
    <t>1,163+0,442</t>
  </si>
  <si>
    <t>2,23+1,00</t>
  </si>
  <si>
    <t>12GM</t>
  </si>
  <si>
    <t>4GM</t>
  </si>
  <si>
    <t>3GM</t>
  </si>
  <si>
    <t>2,5+1,25</t>
  </si>
  <si>
    <t>5GM</t>
  </si>
  <si>
    <t>11,000+4,700</t>
  </si>
  <si>
    <t>2+1,8</t>
  </si>
  <si>
    <t>3DM</t>
  </si>
  <si>
    <t>0,9+2</t>
  </si>
  <si>
    <t>6GM</t>
  </si>
  <si>
    <t>TÜRKİYE PETROL RAFİNERİLERİ A.Ş.</t>
  </si>
  <si>
    <t>KALEN ENERJİ ELEKTRİK ÜRETİM A.Ş.</t>
  </si>
  <si>
    <t>ALİZE ENERJİ ELEKTRİK ÜRETİM A.Ş.</t>
  </si>
  <si>
    <t>YILDIZLAR ENERJİ ELEKTRİK ÜRETİM A.Ş.</t>
  </si>
  <si>
    <t>AKIM ENERJİ ÜRETİM SAN. VE TİC. A.Ş.</t>
  </si>
  <si>
    <t>GARET ENERJİ ÜRETİM VE TİC. A.Ş.</t>
  </si>
  <si>
    <t>SABAŞ ELEKTRİK ÜRETİM A.Ş.</t>
  </si>
  <si>
    <t>GİMAK ENERJİ ÜRETİM LTD.ŞTİ.</t>
  </si>
  <si>
    <t>ÖZCEVHER ENERJİ ELEKTRİK ÜRETİM A.Ş.</t>
  </si>
  <si>
    <t>YENİGÜN ENERJİ ÜRETİM A.Ş.</t>
  </si>
  <si>
    <t>FRAPORT IC İÇTAŞ ANTALYA HAVALİMANI TERMİNAL YATIRIM VE İŞLETMECİLİĞİ A.Ş.</t>
  </si>
  <si>
    <t>YEDİGÖZE ELEKTRİK ÜRETİM VE TİC.A.Ş.</t>
  </si>
  <si>
    <t>HG ENERJİ ELEKTRİK ÜRETİMİ SAN. TİC. A.Ş.</t>
  </si>
  <si>
    <t>İSTANBUL SABİHA GÖKÇEN ULUSLAR ARASI HAVALİMANI YATIRIM YAPIM VE İŞL.A.Ş.</t>
  </si>
  <si>
    <t>ALANTEK ENERJİ ÜRETİM A.Ş.</t>
  </si>
  <si>
    <t>YUSAKA ENERJİ ELEKTRİK ÜRETİM PAZARLAMA SAN. VE TİC. LTD. ŞTİ.</t>
  </si>
  <si>
    <t>AES-IC İÇTAŞ ENERJİ VE ÜRETİM A.Ş.</t>
  </si>
  <si>
    <t>DURUCASU ELEKTRİK ÜRETİM LTD. ŞTİ.</t>
  </si>
  <si>
    <t>GÜLLE ENTEGRE TEKSTİL İŞLETMELERİ EMLAK DANIŞMALIĞI SAN. VE TİC. A.Ş.</t>
  </si>
  <si>
    <t>LİMAK HİDROELEKTRİK SANTRAL YATIRIMLARI A.Ş.</t>
  </si>
  <si>
    <t>EBD ENERJİ ÜRETİM VE TİC.A.Ş.</t>
  </si>
  <si>
    <t>BOYTEKS  TEKSTİL SAN. VE TİC. A.Ş.</t>
  </si>
  <si>
    <t>GÖLTAŞ ENERJİ ELEKTRİK ÜRETİM A.Ş.</t>
  </si>
  <si>
    <t>CENGİZ ENERJİ SAN. TİC. A.Ş.</t>
  </si>
  <si>
    <t>ÇAMLICA ELEKTRİK ÜRETİM A.Ş.</t>
  </si>
  <si>
    <t>GLOBAL ENERJİ ELEKTRİK ÜRETİM A.Ş.</t>
  </si>
  <si>
    <t>KIVANÇ ENERJİ ELEKTRİK ÜRETİM SAN. VE TİC. A.Ş.</t>
  </si>
  <si>
    <t>ASMAKİNSAN TEMİZ ENERJİ ELEKTRİK ÜRETİM SAN. VE TİC. A.Ş.</t>
  </si>
  <si>
    <t>LASKAR ENERJİ ÜRETİM VE PAZARLAMA A.Ş.</t>
  </si>
  <si>
    <t>BÜKOR ELEKTRİK ÜRETİM A.Ş.</t>
  </si>
  <si>
    <t>ÇELİKLER ELEKTRİK ÜRETİM A.Ş.</t>
  </si>
  <si>
    <t>1GT</t>
  </si>
  <si>
    <t>İSTANBUL</t>
  </si>
  <si>
    <t>ÇORUM</t>
  </si>
  <si>
    <t>KIRIKKALE</t>
  </si>
  <si>
    <t>DİYARBAKIR</t>
  </si>
  <si>
    <t>RİZE</t>
  </si>
  <si>
    <t>4,64+3,54</t>
  </si>
  <si>
    <t>2+2</t>
  </si>
  <si>
    <t>NEVŞEHİR</t>
  </si>
  <si>
    <t>ARDAHAN</t>
  </si>
  <si>
    <t>SİİRT</t>
  </si>
  <si>
    <r>
      <t>İLAVE KURULU GÜÇ MW</t>
    </r>
    <r>
      <rPr>
        <b/>
        <vertAlign val="subscript"/>
        <sz val="10"/>
        <rFont val="Arial"/>
        <family val="2"/>
      </rPr>
      <t>e</t>
    </r>
  </si>
  <si>
    <t>TERMİK</t>
  </si>
  <si>
    <t>ÇÖP, BİYOGAZ, ATIK</t>
  </si>
  <si>
    <t xml:space="preserve">YAKIT TÜRÜ </t>
  </si>
  <si>
    <t>2011 YILI ENERJİ YATIRIMLARI</t>
  </si>
  <si>
    <t>İLAVE KURULU GÜÇ TOPLAMI (MW)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</si>
</sst>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dd/mm/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  <font>
      <b/>
      <sz val="8"/>
      <name val="Arial Tur"/>
      <family val="0"/>
    </font>
    <font>
      <b/>
      <vertAlign val="superscript"/>
      <sz val="12"/>
      <color indexed="10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i/>
      <sz val="10"/>
      <name val="Arial Tur"/>
      <family val="0"/>
    </font>
    <font>
      <b/>
      <i/>
      <sz val="11"/>
      <name val="Arial Tur"/>
      <family val="0"/>
    </font>
    <font>
      <u val="single"/>
      <sz val="10"/>
      <name val="Arial Tur"/>
      <family val="0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vertAlign val="superscript"/>
      <sz val="12"/>
      <color rgb="FFFF000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 shrinkToFit="1"/>
    </xf>
    <xf numFmtId="164" fontId="4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1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shrinkToFit="1"/>
    </xf>
    <xf numFmtId="164" fontId="10" fillId="33" borderId="10" xfId="0" applyNumberFormat="1" applyFont="1" applyFill="1" applyBorder="1" applyAlignment="1">
      <alignment horizontal="center" vertical="center" wrapText="1"/>
    </xf>
    <xf numFmtId="164" fontId="9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shrinkToFit="1"/>
    </xf>
    <xf numFmtId="164" fontId="7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/>
    </xf>
    <xf numFmtId="164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0" fontId="0" fillId="33" borderId="10" xfId="0" applyFill="1" applyBorder="1" applyAlignment="1">
      <alignment vertical="center" shrinkToFit="1"/>
    </xf>
    <xf numFmtId="0" fontId="3" fillId="33" borderId="10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164" fontId="3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horizontal="center" vertical="center" shrinkToFi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vertical="center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 shrinkToFit="1"/>
    </xf>
    <xf numFmtId="0" fontId="0" fillId="33" borderId="0" xfId="0" applyFont="1" applyFill="1" applyAlignment="1">
      <alignment wrapText="1"/>
    </xf>
    <xf numFmtId="164" fontId="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 wrapText="1"/>
    </xf>
    <xf numFmtId="14" fontId="3" fillId="33" borderId="10" xfId="5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shrinkToFit="1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 shrinkToFit="1"/>
    </xf>
    <xf numFmtId="164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shrinkToFit="1"/>
    </xf>
    <xf numFmtId="164" fontId="3" fillId="33" borderId="10" xfId="0" applyNumberFormat="1" applyFont="1" applyFill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164" fontId="49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 YILI ENERJİ YATIRIMLARI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35575"/>
          <c:w val="0.83875"/>
          <c:h val="0.64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'2011 Yılı Enerji Yatırımları'!$D$149:$D$153</c:f>
              <c:strCache/>
            </c:strRef>
          </c:cat>
          <c:val>
            <c:numRef>
              <c:f>'2011 Yılı Enerji Yatırımları'!$E$149:$E$153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156</xdr:row>
      <xdr:rowOff>95250</xdr:rowOff>
    </xdr:from>
    <xdr:to>
      <xdr:col>6</xdr:col>
      <xdr:colOff>714375</xdr:colOff>
      <xdr:row>176</xdr:row>
      <xdr:rowOff>76200</xdr:rowOff>
    </xdr:to>
    <xdr:graphicFrame>
      <xdr:nvGraphicFramePr>
        <xdr:cNvPr id="1" name="Chart 2"/>
        <xdr:cNvGraphicFramePr/>
      </xdr:nvGraphicFramePr>
      <xdr:xfrm>
        <a:off x="2381250" y="41062275"/>
        <a:ext cx="65817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866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6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25" defaultRowHeight="12.75"/>
  <cols>
    <col min="1" max="1" width="11.125" style="26" customWidth="1"/>
    <col min="2" max="2" width="25.00390625" style="45" customWidth="1"/>
    <col min="3" max="3" width="21.125" style="45" customWidth="1"/>
    <col min="4" max="4" width="19.125" style="23" bestFit="1" customWidth="1"/>
    <col min="5" max="5" width="15.00390625" style="26" customWidth="1"/>
    <col min="6" max="6" width="16.875" style="29" customWidth="1"/>
    <col min="7" max="7" width="11.125" style="26" customWidth="1"/>
    <col min="8" max="8" width="18.625" style="29" customWidth="1"/>
    <col min="9" max="9" width="18.125" style="23" bestFit="1" customWidth="1"/>
    <col min="10" max="16384" width="9.125" style="23" customWidth="1"/>
  </cols>
  <sheetData>
    <row r="1" ht="25.5" customHeight="1"/>
    <row r="2" spans="1:9" s="1" customFormat="1" ht="34.5" customHeight="1">
      <c r="A2" s="77" t="s">
        <v>253</v>
      </c>
      <c r="B2" s="77"/>
      <c r="C2" s="77"/>
      <c r="D2" s="77"/>
      <c r="E2" s="77"/>
      <c r="F2" s="77"/>
      <c r="G2" s="77"/>
      <c r="H2" s="77"/>
      <c r="I2" s="77"/>
    </row>
    <row r="3" spans="1:9" s="1" customFormat="1" ht="31.5">
      <c r="A3" s="2" t="s">
        <v>0</v>
      </c>
      <c r="B3" s="2" t="s">
        <v>1</v>
      </c>
      <c r="C3" s="2" t="s">
        <v>27</v>
      </c>
      <c r="D3" s="2" t="s">
        <v>26</v>
      </c>
      <c r="E3" s="2" t="s">
        <v>2</v>
      </c>
      <c r="F3" s="3" t="s">
        <v>3</v>
      </c>
      <c r="G3" s="2" t="s">
        <v>4</v>
      </c>
      <c r="H3" s="3" t="s">
        <v>249</v>
      </c>
      <c r="I3" s="2" t="s">
        <v>5</v>
      </c>
    </row>
    <row r="4" spans="1:9" s="1" customFormat="1" ht="21" customHeight="1">
      <c r="A4" s="41">
        <v>1</v>
      </c>
      <c r="B4" s="68" t="s">
        <v>214</v>
      </c>
      <c r="C4" s="2"/>
      <c r="D4" s="60" t="s">
        <v>50</v>
      </c>
      <c r="E4" s="4" t="s">
        <v>6</v>
      </c>
      <c r="F4" s="6">
        <v>4.1</v>
      </c>
      <c r="G4" s="66">
        <v>2</v>
      </c>
      <c r="H4" s="6">
        <f>2*4.1</f>
        <v>8.2</v>
      </c>
      <c r="I4" s="59">
        <v>40555</v>
      </c>
    </row>
    <row r="5" spans="1:9" s="1" customFormat="1" ht="21" customHeight="1">
      <c r="A5" s="41">
        <v>2</v>
      </c>
      <c r="B5" s="69" t="s">
        <v>208</v>
      </c>
      <c r="C5" s="2"/>
      <c r="D5" s="60" t="s">
        <v>42</v>
      </c>
      <c r="E5" s="4" t="s">
        <v>6</v>
      </c>
      <c r="F5" s="6">
        <v>5.2</v>
      </c>
      <c r="G5" s="63">
        <v>1</v>
      </c>
      <c r="H5" s="6">
        <f>1*5.2</f>
        <v>5.2</v>
      </c>
      <c r="I5" s="59">
        <v>40555</v>
      </c>
    </row>
    <row r="6" spans="1:9" s="1" customFormat="1" ht="21" customHeight="1">
      <c r="A6" s="41">
        <v>3</v>
      </c>
      <c r="B6" s="68" t="s">
        <v>215</v>
      </c>
      <c r="C6" s="2"/>
      <c r="D6" s="60" t="s">
        <v>66</v>
      </c>
      <c r="E6" s="4" t="s">
        <v>6</v>
      </c>
      <c r="F6" s="6" t="s">
        <v>244</v>
      </c>
      <c r="G6" s="66" t="s">
        <v>245</v>
      </c>
      <c r="H6" s="6">
        <f>2*4.64+2*3.54</f>
        <v>16.36</v>
      </c>
      <c r="I6" s="59">
        <v>40560</v>
      </c>
    </row>
    <row r="7" spans="1:9" s="1" customFormat="1" ht="21" customHeight="1">
      <c r="A7" s="41">
        <v>4</v>
      </c>
      <c r="B7" s="68" t="s">
        <v>60</v>
      </c>
      <c r="C7" s="2"/>
      <c r="D7" s="60" t="s">
        <v>246</v>
      </c>
      <c r="E7" s="4" t="s">
        <v>6</v>
      </c>
      <c r="F7" s="6">
        <v>23.5</v>
      </c>
      <c r="G7" s="5">
        <v>2</v>
      </c>
      <c r="H7" s="6">
        <f>2*23.5</f>
        <v>47</v>
      </c>
      <c r="I7" s="59">
        <v>40563</v>
      </c>
    </row>
    <row r="8" spans="1:9" s="1" customFormat="1" ht="21" customHeight="1">
      <c r="A8" s="41">
        <v>5</v>
      </c>
      <c r="B8" s="68" t="s">
        <v>216</v>
      </c>
      <c r="C8" s="2"/>
      <c r="D8" s="60" t="s">
        <v>247</v>
      </c>
      <c r="E8" s="4" t="s">
        <v>6</v>
      </c>
      <c r="F8" s="6">
        <v>3.065</v>
      </c>
      <c r="G8" s="5">
        <v>2</v>
      </c>
      <c r="H8" s="6">
        <f>2*3.065</f>
        <v>6.13</v>
      </c>
      <c r="I8" s="59">
        <v>40563</v>
      </c>
    </row>
    <row r="9" spans="1:9" s="1" customFormat="1" ht="21" customHeight="1">
      <c r="A9" s="41">
        <v>6</v>
      </c>
      <c r="B9" s="68" t="s">
        <v>217</v>
      </c>
      <c r="C9" s="2"/>
      <c r="D9" s="58" t="s">
        <v>36</v>
      </c>
      <c r="E9" s="4" t="s">
        <v>7</v>
      </c>
      <c r="F9" s="6">
        <v>2</v>
      </c>
      <c r="G9" s="5" t="s">
        <v>198</v>
      </c>
      <c r="H9" s="6">
        <f>4*2</f>
        <v>8</v>
      </c>
      <c r="I9" s="59">
        <v>40567</v>
      </c>
    </row>
    <row r="10" spans="1:9" s="1" customFormat="1" ht="21" customHeight="1">
      <c r="A10" s="41">
        <v>7</v>
      </c>
      <c r="B10" s="68" t="s">
        <v>218</v>
      </c>
      <c r="C10" s="2"/>
      <c r="D10" s="60" t="s">
        <v>32</v>
      </c>
      <c r="E10" s="4" t="s">
        <v>6</v>
      </c>
      <c r="F10" s="6">
        <v>155.33</v>
      </c>
      <c r="G10" s="66">
        <v>1</v>
      </c>
      <c r="H10" s="6">
        <v>155.33</v>
      </c>
      <c r="I10" s="59">
        <v>40569</v>
      </c>
    </row>
    <row r="11" spans="1:9" s="1" customFormat="1" ht="21" customHeight="1">
      <c r="A11" s="41">
        <v>8</v>
      </c>
      <c r="B11" s="68" t="s">
        <v>219</v>
      </c>
      <c r="C11" s="2"/>
      <c r="D11" s="60" t="s">
        <v>8</v>
      </c>
      <c r="E11" s="4" t="s">
        <v>9</v>
      </c>
      <c r="F11" s="62">
        <v>8.73</v>
      </c>
      <c r="G11" s="66" t="s">
        <v>206</v>
      </c>
      <c r="H11" s="6">
        <f>8.73*6</f>
        <v>52.38</v>
      </c>
      <c r="I11" s="59">
        <v>40570</v>
      </c>
    </row>
    <row r="12" spans="1:9" s="1" customFormat="1" ht="21" customHeight="1">
      <c r="A12" s="41">
        <v>9</v>
      </c>
      <c r="B12" s="68" t="s">
        <v>211</v>
      </c>
      <c r="C12" s="2"/>
      <c r="D12" s="58" t="s">
        <v>243</v>
      </c>
      <c r="E12" s="39" t="s">
        <v>6</v>
      </c>
      <c r="F12" s="40">
        <v>11.68</v>
      </c>
      <c r="G12" s="63">
        <v>2</v>
      </c>
      <c r="H12" s="40">
        <f>2*11.68</f>
        <v>23.36</v>
      </c>
      <c r="I12" s="59">
        <v>40571</v>
      </c>
    </row>
    <row r="13" spans="1:9" s="1" customFormat="1" ht="21" customHeight="1">
      <c r="A13" s="41">
        <v>10</v>
      </c>
      <c r="B13" s="68" t="s">
        <v>220</v>
      </c>
      <c r="C13" s="2"/>
      <c r="D13" s="58" t="s">
        <v>239</v>
      </c>
      <c r="E13" s="39" t="s">
        <v>9</v>
      </c>
      <c r="F13" s="40">
        <v>2</v>
      </c>
      <c r="G13" s="63" t="s">
        <v>40</v>
      </c>
      <c r="H13" s="40">
        <f>2*2</f>
        <v>4</v>
      </c>
      <c r="I13" s="59">
        <v>40574</v>
      </c>
    </row>
    <row r="14" spans="1:9" s="1" customFormat="1" ht="21" customHeight="1">
      <c r="A14" s="41">
        <v>11</v>
      </c>
      <c r="B14" s="68" t="s">
        <v>29</v>
      </c>
      <c r="C14" s="2"/>
      <c r="D14" s="60" t="s">
        <v>49</v>
      </c>
      <c r="E14" s="4" t="s">
        <v>6</v>
      </c>
      <c r="F14" s="6">
        <v>71.14</v>
      </c>
      <c r="G14" s="5">
        <v>1</v>
      </c>
      <c r="H14" s="6">
        <v>71.14</v>
      </c>
      <c r="I14" s="59">
        <v>40577</v>
      </c>
    </row>
    <row r="15" spans="1:9" s="1" customFormat="1" ht="21" customHeight="1">
      <c r="A15" s="41">
        <v>12</v>
      </c>
      <c r="B15" s="68" t="s">
        <v>207</v>
      </c>
      <c r="C15" s="2"/>
      <c r="D15" s="60" t="s">
        <v>241</v>
      </c>
      <c r="E15" s="41" t="s">
        <v>9</v>
      </c>
      <c r="F15" s="64">
        <v>12</v>
      </c>
      <c r="G15" s="65" t="s">
        <v>10</v>
      </c>
      <c r="H15" s="6">
        <v>12</v>
      </c>
      <c r="I15" s="59">
        <v>40578</v>
      </c>
    </row>
    <row r="16" spans="1:9" s="1" customFormat="1" ht="21" customHeight="1">
      <c r="A16" s="41">
        <v>13</v>
      </c>
      <c r="B16" s="68" t="s">
        <v>29</v>
      </c>
      <c r="C16" s="2"/>
      <c r="D16" s="60" t="s">
        <v>123</v>
      </c>
      <c r="E16" s="41" t="s">
        <v>11</v>
      </c>
      <c r="F16" s="64">
        <v>2.3</v>
      </c>
      <c r="G16" s="65">
        <v>11</v>
      </c>
      <c r="H16" s="6">
        <f>2.3*11</f>
        <v>25.299999999999997</v>
      </c>
      <c r="I16" s="59">
        <v>40585</v>
      </c>
    </row>
    <row r="17" spans="1:9" s="1" customFormat="1" ht="21" customHeight="1">
      <c r="A17" s="41">
        <v>14</v>
      </c>
      <c r="B17" s="68" t="s">
        <v>221</v>
      </c>
      <c r="C17" s="2"/>
      <c r="D17" s="60" t="s">
        <v>38</v>
      </c>
      <c r="E17" s="41" t="s">
        <v>11</v>
      </c>
      <c r="F17" s="64">
        <v>2.5</v>
      </c>
      <c r="G17" s="65">
        <v>5</v>
      </c>
      <c r="H17" s="6">
        <f>5*2.5</f>
        <v>12.5</v>
      </c>
      <c r="I17" s="59">
        <v>40587</v>
      </c>
    </row>
    <row r="18" spans="1:9" s="1" customFormat="1" ht="21" customHeight="1">
      <c r="A18" s="41">
        <v>15</v>
      </c>
      <c r="B18" s="68" t="s">
        <v>222</v>
      </c>
      <c r="C18" s="2"/>
      <c r="D18" s="60" t="s">
        <v>124</v>
      </c>
      <c r="E18" s="41" t="s">
        <v>6</v>
      </c>
      <c r="F18" s="64">
        <v>3.49</v>
      </c>
      <c r="G18" s="65">
        <v>2</v>
      </c>
      <c r="H18" s="6">
        <f>2*3.49</f>
        <v>6.98</v>
      </c>
      <c r="I18" s="59">
        <v>40593</v>
      </c>
    </row>
    <row r="19" spans="1:9" s="1" customFormat="1" ht="21" customHeight="1">
      <c r="A19" s="41">
        <v>16</v>
      </c>
      <c r="B19" s="70" t="s">
        <v>223</v>
      </c>
      <c r="C19" s="2"/>
      <c r="D19" s="67" t="s">
        <v>48</v>
      </c>
      <c r="E19" s="42" t="s">
        <v>6</v>
      </c>
      <c r="F19" s="62">
        <v>5.83</v>
      </c>
      <c r="G19" s="66">
        <v>3</v>
      </c>
      <c r="H19" s="62">
        <f>3*5.83</f>
        <v>17.490000000000002</v>
      </c>
      <c r="I19" s="59">
        <v>40597</v>
      </c>
    </row>
    <row r="20" spans="1:9" s="1" customFormat="1" ht="21" customHeight="1">
      <c r="A20" s="41">
        <v>17</v>
      </c>
      <c r="B20" s="68" t="s">
        <v>224</v>
      </c>
      <c r="C20" s="2"/>
      <c r="D20" s="60" t="s">
        <v>56</v>
      </c>
      <c r="E20" s="4" t="s">
        <v>6</v>
      </c>
      <c r="F20" s="6">
        <v>2.245</v>
      </c>
      <c r="G20" s="66">
        <v>2</v>
      </c>
      <c r="H20" s="6">
        <f>2*2.245</f>
        <v>4.49</v>
      </c>
      <c r="I20" s="59">
        <v>40599</v>
      </c>
    </row>
    <row r="21" spans="1:9" s="1" customFormat="1" ht="21" customHeight="1">
      <c r="A21" s="41">
        <v>18</v>
      </c>
      <c r="B21" s="68" t="s">
        <v>225</v>
      </c>
      <c r="C21" s="2"/>
      <c r="D21" s="61" t="s">
        <v>125</v>
      </c>
      <c r="E21" s="4" t="s">
        <v>9</v>
      </c>
      <c r="F21" s="6">
        <v>3.904</v>
      </c>
      <c r="G21" s="66" t="s">
        <v>47</v>
      </c>
      <c r="H21" s="6">
        <v>3.904</v>
      </c>
      <c r="I21" s="59">
        <v>40606</v>
      </c>
    </row>
    <row r="22" spans="1:9" s="1" customFormat="1" ht="21" customHeight="1">
      <c r="A22" s="41">
        <v>19</v>
      </c>
      <c r="B22" s="68" t="s">
        <v>213</v>
      </c>
      <c r="C22" s="2"/>
      <c r="D22" s="60" t="s">
        <v>12</v>
      </c>
      <c r="E22" s="4" t="s">
        <v>11</v>
      </c>
      <c r="F22" s="6">
        <v>2</v>
      </c>
      <c r="G22" s="66">
        <v>1</v>
      </c>
      <c r="H22" s="6">
        <v>2</v>
      </c>
      <c r="I22" s="59">
        <v>40606</v>
      </c>
    </row>
    <row r="23" spans="1:9" s="1" customFormat="1" ht="21" customHeight="1">
      <c r="A23" s="41">
        <v>20</v>
      </c>
      <c r="B23" s="68" t="s">
        <v>210</v>
      </c>
      <c r="C23" s="2"/>
      <c r="D23" s="60" t="s">
        <v>242</v>
      </c>
      <c r="E23" s="4" t="s">
        <v>6</v>
      </c>
      <c r="F23" s="6">
        <v>11.46</v>
      </c>
      <c r="G23" s="5">
        <v>2</v>
      </c>
      <c r="H23" s="6">
        <f>2*11.46</f>
        <v>22.92</v>
      </c>
      <c r="I23" s="59">
        <v>40606</v>
      </c>
    </row>
    <row r="24" spans="1:9" s="1" customFormat="1" ht="21" customHeight="1">
      <c r="A24" s="41">
        <v>21</v>
      </c>
      <c r="B24" s="68" t="s">
        <v>212</v>
      </c>
      <c r="C24" s="2"/>
      <c r="D24" s="60" t="s">
        <v>123</v>
      </c>
      <c r="E24" s="4" t="s">
        <v>11</v>
      </c>
      <c r="F24" s="6">
        <v>2.5</v>
      </c>
      <c r="G24" s="66">
        <v>3</v>
      </c>
      <c r="H24" s="6">
        <f>3*2.5</f>
        <v>7.5</v>
      </c>
      <c r="I24" s="59">
        <v>40612</v>
      </c>
    </row>
    <row r="25" spans="1:9" s="1" customFormat="1" ht="21" customHeight="1">
      <c r="A25" s="41">
        <v>22</v>
      </c>
      <c r="B25" s="68" t="s">
        <v>226</v>
      </c>
      <c r="C25" s="2"/>
      <c r="D25" s="60" t="s">
        <v>248</v>
      </c>
      <c r="E25" s="4" t="s">
        <v>6</v>
      </c>
      <c r="F25" s="6">
        <v>87.09</v>
      </c>
      <c r="G25" s="66">
        <v>2</v>
      </c>
      <c r="H25" s="6">
        <f>2*87.09</f>
        <v>174.18</v>
      </c>
      <c r="I25" s="59">
        <v>40612</v>
      </c>
    </row>
    <row r="26" spans="1:9" s="1" customFormat="1" ht="21" customHeight="1">
      <c r="A26" s="41">
        <v>23</v>
      </c>
      <c r="B26" s="68" t="s">
        <v>227</v>
      </c>
      <c r="C26" s="2"/>
      <c r="D26" s="58" t="s">
        <v>126</v>
      </c>
      <c r="E26" s="41" t="s">
        <v>6</v>
      </c>
      <c r="F26" s="6">
        <v>7.6</v>
      </c>
      <c r="G26" s="63">
        <v>4</v>
      </c>
      <c r="H26" s="6">
        <f>4*7.6</f>
        <v>30.4</v>
      </c>
      <c r="I26" s="59">
        <v>40619</v>
      </c>
    </row>
    <row r="27" spans="1:9" s="1" customFormat="1" ht="21" customHeight="1">
      <c r="A27" s="41">
        <v>24</v>
      </c>
      <c r="B27" s="68" t="s">
        <v>29</v>
      </c>
      <c r="C27" s="2"/>
      <c r="D27" s="60" t="s">
        <v>49</v>
      </c>
      <c r="E27" s="4" t="s">
        <v>6</v>
      </c>
      <c r="F27" s="6">
        <v>71.14</v>
      </c>
      <c r="G27" s="66">
        <v>1</v>
      </c>
      <c r="H27" s="6">
        <v>71.14</v>
      </c>
      <c r="I27" s="59">
        <v>40619</v>
      </c>
    </row>
    <row r="28" spans="1:9" s="1" customFormat="1" ht="21" customHeight="1">
      <c r="A28" s="41">
        <v>25</v>
      </c>
      <c r="B28" s="68" t="s">
        <v>228</v>
      </c>
      <c r="C28" s="2"/>
      <c r="D28" s="58" t="s">
        <v>57</v>
      </c>
      <c r="E28" s="41" t="s">
        <v>9</v>
      </c>
      <c r="F28" s="6">
        <v>4.3</v>
      </c>
      <c r="G28" s="63" t="s">
        <v>40</v>
      </c>
      <c r="H28" s="6">
        <f>2*4.3</f>
        <v>8.6</v>
      </c>
      <c r="I28" s="59">
        <v>40621</v>
      </c>
    </row>
    <row r="29" spans="1:9" s="1" customFormat="1" ht="21" customHeight="1">
      <c r="A29" s="41">
        <v>26</v>
      </c>
      <c r="B29" s="68" t="s">
        <v>229</v>
      </c>
      <c r="C29" s="2"/>
      <c r="D29" s="58" t="s">
        <v>58</v>
      </c>
      <c r="E29" s="41" t="s">
        <v>6</v>
      </c>
      <c r="F29" s="6">
        <v>30</v>
      </c>
      <c r="G29" s="63">
        <v>1</v>
      </c>
      <c r="H29" s="6">
        <v>30</v>
      </c>
      <c r="I29" s="59">
        <v>40625</v>
      </c>
    </row>
    <row r="30" spans="1:9" s="1" customFormat="1" ht="21" customHeight="1">
      <c r="A30" s="41">
        <v>27</v>
      </c>
      <c r="B30" s="68" t="s">
        <v>221</v>
      </c>
      <c r="C30" s="2"/>
      <c r="D30" s="60" t="s">
        <v>38</v>
      </c>
      <c r="E30" s="41" t="s">
        <v>11</v>
      </c>
      <c r="F30" s="6">
        <v>2.5</v>
      </c>
      <c r="G30" s="65">
        <v>4</v>
      </c>
      <c r="H30" s="6">
        <f>4*2.5</f>
        <v>10</v>
      </c>
      <c r="I30" s="59">
        <v>40627</v>
      </c>
    </row>
    <row r="31" spans="1:9" s="1" customFormat="1" ht="21" customHeight="1">
      <c r="A31" s="41">
        <v>28</v>
      </c>
      <c r="B31" s="68" t="s">
        <v>97</v>
      </c>
      <c r="C31" s="2"/>
      <c r="D31" s="58" t="s">
        <v>68</v>
      </c>
      <c r="E31" s="41" t="s">
        <v>6</v>
      </c>
      <c r="F31" s="6">
        <v>4.459</v>
      </c>
      <c r="G31" s="63">
        <v>3</v>
      </c>
      <c r="H31" s="6">
        <f>3*4.459</f>
        <v>13.376999999999999</v>
      </c>
      <c r="I31" s="59">
        <v>40627</v>
      </c>
    </row>
    <row r="32" spans="1:9" s="1" customFormat="1" ht="21" customHeight="1">
      <c r="A32" s="41">
        <v>29</v>
      </c>
      <c r="B32" s="68" t="s">
        <v>230</v>
      </c>
      <c r="C32" s="2"/>
      <c r="D32" s="58" t="s">
        <v>48</v>
      </c>
      <c r="E32" s="41" t="s">
        <v>9</v>
      </c>
      <c r="F32" s="6">
        <v>35</v>
      </c>
      <c r="G32" s="63" t="s">
        <v>10</v>
      </c>
      <c r="H32" s="6">
        <v>35</v>
      </c>
      <c r="I32" s="59">
        <v>40632</v>
      </c>
    </row>
    <row r="33" spans="1:9" s="1" customFormat="1" ht="21" customHeight="1">
      <c r="A33" s="41">
        <v>30</v>
      </c>
      <c r="B33" s="68" t="s">
        <v>231</v>
      </c>
      <c r="C33" s="2"/>
      <c r="D33" s="58" t="s">
        <v>57</v>
      </c>
      <c r="E33" s="39" t="s">
        <v>6</v>
      </c>
      <c r="F33" s="40">
        <v>9.206</v>
      </c>
      <c r="G33" s="63">
        <v>3</v>
      </c>
      <c r="H33" s="40">
        <f>3*9.206</f>
        <v>27.618</v>
      </c>
      <c r="I33" s="59">
        <v>40634</v>
      </c>
    </row>
    <row r="34" spans="1:9" s="1" customFormat="1" ht="21" customHeight="1">
      <c r="A34" s="41">
        <v>31</v>
      </c>
      <c r="B34" s="68" t="s">
        <v>13</v>
      </c>
      <c r="C34" s="2"/>
      <c r="D34" s="58" t="s">
        <v>56</v>
      </c>
      <c r="E34" s="39" t="s">
        <v>6</v>
      </c>
      <c r="F34" s="40">
        <v>5.4</v>
      </c>
      <c r="G34" s="63">
        <v>1</v>
      </c>
      <c r="H34" s="40">
        <v>5.4</v>
      </c>
      <c r="I34" s="59">
        <v>40636</v>
      </c>
    </row>
    <row r="35" spans="1:9" s="1" customFormat="1" ht="21" customHeight="1">
      <c r="A35" s="41">
        <v>32</v>
      </c>
      <c r="B35" s="68" t="s">
        <v>84</v>
      </c>
      <c r="C35" s="2"/>
      <c r="D35" s="58" t="s">
        <v>70</v>
      </c>
      <c r="E35" s="39" t="s">
        <v>6</v>
      </c>
      <c r="F35" s="40">
        <v>12.513</v>
      </c>
      <c r="G35" s="63">
        <v>3</v>
      </c>
      <c r="H35" s="40">
        <f>3*12.513</f>
        <v>37.539</v>
      </c>
      <c r="I35" s="59">
        <v>40640</v>
      </c>
    </row>
    <row r="36" spans="1:9" s="1" customFormat="1" ht="21" customHeight="1">
      <c r="A36" s="41">
        <v>33</v>
      </c>
      <c r="B36" s="68" t="s">
        <v>102</v>
      </c>
      <c r="C36" s="2"/>
      <c r="D36" s="58" t="s">
        <v>240</v>
      </c>
      <c r="E36" s="39" t="s">
        <v>6</v>
      </c>
      <c r="F36" s="40">
        <v>5</v>
      </c>
      <c r="G36" s="63">
        <v>3</v>
      </c>
      <c r="H36" s="40">
        <f>3*5</f>
        <v>15</v>
      </c>
      <c r="I36" s="59">
        <v>40641</v>
      </c>
    </row>
    <row r="37" spans="1:9" s="1" customFormat="1" ht="21" customHeight="1">
      <c r="A37" s="41">
        <v>34</v>
      </c>
      <c r="B37" s="68" t="s">
        <v>232</v>
      </c>
      <c r="C37" s="2"/>
      <c r="D37" s="61" t="s">
        <v>125</v>
      </c>
      <c r="E37" s="39" t="s">
        <v>9</v>
      </c>
      <c r="F37" s="40">
        <v>4</v>
      </c>
      <c r="G37" s="63" t="s">
        <v>47</v>
      </c>
      <c r="H37" s="40">
        <v>4</v>
      </c>
      <c r="I37" s="59">
        <v>40641</v>
      </c>
    </row>
    <row r="38" spans="1:9" s="1" customFormat="1" ht="21" customHeight="1">
      <c r="A38" s="41">
        <v>35</v>
      </c>
      <c r="B38" s="68" t="s">
        <v>99</v>
      </c>
      <c r="C38" s="2"/>
      <c r="D38" s="58" t="s">
        <v>50</v>
      </c>
      <c r="E38" s="39" t="s">
        <v>14</v>
      </c>
      <c r="F38" s="40">
        <v>1.416</v>
      </c>
      <c r="G38" s="63" t="s">
        <v>47</v>
      </c>
      <c r="H38" s="40">
        <v>1.416</v>
      </c>
      <c r="I38" s="59">
        <v>40641</v>
      </c>
    </row>
    <row r="39" spans="1:9" s="1" customFormat="1" ht="21" customHeight="1">
      <c r="A39" s="41">
        <v>36</v>
      </c>
      <c r="B39" s="68" t="s">
        <v>226</v>
      </c>
      <c r="C39" s="2"/>
      <c r="D39" s="58" t="s">
        <v>248</v>
      </c>
      <c r="E39" s="39" t="s">
        <v>6</v>
      </c>
      <c r="F39" s="40">
        <v>87.09</v>
      </c>
      <c r="G39" s="63">
        <v>1</v>
      </c>
      <c r="H39" s="40">
        <v>87.09</v>
      </c>
      <c r="I39" s="59">
        <v>40645</v>
      </c>
    </row>
    <row r="40" spans="1:9" s="1" customFormat="1" ht="21" customHeight="1">
      <c r="A40" s="41">
        <v>37</v>
      </c>
      <c r="B40" s="68" t="s">
        <v>233</v>
      </c>
      <c r="C40" s="2"/>
      <c r="D40" s="60" t="s">
        <v>49</v>
      </c>
      <c r="E40" s="4" t="s">
        <v>6</v>
      </c>
      <c r="F40" s="6">
        <v>2.3047</v>
      </c>
      <c r="G40" s="5">
        <v>1</v>
      </c>
      <c r="H40" s="6">
        <v>2.3047</v>
      </c>
      <c r="I40" s="59">
        <v>40647</v>
      </c>
    </row>
    <row r="41" spans="1:9" s="1" customFormat="1" ht="21" customHeight="1">
      <c r="A41" s="41">
        <v>38</v>
      </c>
      <c r="B41" s="68" t="s">
        <v>209</v>
      </c>
      <c r="C41" s="2"/>
      <c r="D41" s="58" t="s">
        <v>38</v>
      </c>
      <c r="E41" s="39" t="s">
        <v>11</v>
      </c>
      <c r="F41" s="40">
        <v>2</v>
      </c>
      <c r="G41" s="63">
        <v>8</v>
      </c>
      <c r="H41" s="40">
        <f>2*8</f>
        <v>16</v>
      </c>
      <c r="I41" s="59">
        <v>40652</v>
      </c>
    </row>
    <row r="42" spans="1:9" s="1" customFormat="1" ht="21" customHeight="1">
      <c r="A42" s="41">
        <v>39</v>
      </c>
      <c r="B42" s="68" t="s">
        <v>234</v>
      </c>
      <c r="C42" s="2"/>
      <c r="D42" s="58" t="s">
        <v>38</v>
      </c>
      <c r="E42" s="39" t="s">
        <v>11</v>
      </c>
      <c r="F42" s="40">
        <v>2.4</v>
      </c>
      <c r="G42" s="63">
        <v>1</v>
      </c>
      <c r="H42" s="40">
        <v>0</v>
      </c>
      <c r="I42" s="59">
        <v>40653</v>
      </c>
    </row>
    <row r="43" spans="1:9" s="1" customFormat="1" ht="21" customHeight="1">
      <c r="A43" s="41">
        <v>40</v>
      </c>
      <c r="B43" s="68" t="s">
        <v>221</v>
      </c>
      <c r="C43" s="2"/>
      <c r="D43" s="58" t="s">
        <v>38</v>
      </c>
      <c r="E43" s="39" t="s">
        <v>11</v>
      </c>
      <c r="F43" s="40">
        <v>2.5</v>
      </c>
      <c r="G43" s="63">
        <v>5</v>
      </c>
      <c r="H43" s="40">
        <f>5*2.5</f>
        <v>12.5</v>
      </c>
      <c r="I43" s="59">
        <v>40655</v>
      </c>
    </row>
    <row r="44" spans="1:9" s="1" customFormat="1" ht="21" customHeight="1">
      <c r="A44" s="41">
        <v>41</v>
      </c>
      <c r="B44" s="68" t="s">
        <v>233</v>
      </c>
      <c r="C44" s="2"/>
      <c r="D44" s="58" t="s">
        <v>49</v>
      </c>
      <c r="E44" s="39" t="s">
        <v>6</v>
      </c>
      <c r="F44" s="40">
        <v>2.3047</v>
      </c>
      <c r="G44" s="63">
        <v>1</v>
      </c>
      <c r="H44" s="40">
        <v>2.3047</v>
      </c>
      <c r="I44" s="59">
        <v>40655</v>
      </c>
    </row>
    <row r="45" spans="1:9" s="1" customFormat="1" ht="21" customHeight="1">
      <c r="A45" s="41">
        <v>42</v>
      </c>
      <c r="B45" s="68" t="s">
        <v>13</v>
      </c>
      <c r="C45" s="2"/>
      <c r="D45" s="58" t="s">
        <v>56</v>
      </c>
      <c r="E45" s="39" t="s">
        <v>6</v>
      </c>
      <c r="F45" s="40">
        <v>5.4</v>
      </c>
      <c r="G45" s="63">
        <v>1</v>
      </c>
      <c r="H45" s="40">
        <v>5.4</v>
      </c>
      <c r="I45" s="59">
        <v>40655</v>
      </c>
    </row>
    <row r="46" spans="1:9" s="1" customFormat="1" ht="21" customHeight="1">
      <c r="A46" s="41">
        <v>43</v>
      </c>
      <c r="B46" s="68" t="s">
        <v>229</v>
      </c>
      <c r="C46" s="2"/>
      <c r="D46" s="58" t="s">
        <v>58</v>
      </c>
      <c r="E46" s="41" t="s">
        <v>6</v>
      </c>
      <c r="F46" s="6">
        <v>30</v>
      </c>
      <c r="G46" s="63">
        <v>1</v>
      </c>
      <c r="H46" s="6">
        <v>30</v>
      </c>
      <c r="I46" s="59">
        <v>40657</v>
      </c>
    </row>
    <row r="47" spans="1:9" s="1" customFormat="1" ht="21" customHeight="1">
      <c r="A47" s="41">
        <v>44</v>
      </c>
      <c r="B47" s="68" t="s">
        <v>231</v>
      </c>
      <c r="C47" s="2"/>
      <c r="D47" s="58" t="s">
        <v>41</v>
      </c>
      <c r="E47" s="39" t="s">
        <v>6</v>
      </c>
      <c r="F47" s="40">
        <v>6.37</v>
      </c>
      <c r="G47" s="63">
        <v>4</v>
      </c>
      <c r="H47" s="40">
        <f>6.37*4</f>
        <v>25.48</v>
      </c>
      <c r="I47" s="59">
        <v>40669</v>
      </c>
    </row>
    <row r="48" spans="1:9" s="1" customFormat="1" ht="21" customHeight="1">
      <c r="A48" s="41">
        <v>45</v>
      </c>
      <c r="B48" s="68" t="s">
        <v>29</v>
      </c>
      <c r="C48" s="2"/>
      <c r="D48" s="60" t="s">
        <v>123</v>
      </c>
      <c r="E48" s="41" t="s">
        <v>11</v>
      </c>
      <c r="F48" s="64">
        <v>2.3</v>
      </c>
      <c r="G48" s="65">
        <v>2</v>
      </c>
      <c r="H48" s="6">
        <f>2.3*2</f>
        <v>4.6</v>
      </c>
      <c r="I48" s="59">
        <v>40669</v>
      </c>
    </row>
    <row r="49" spans="1:9" s="1" customFormat="1" ht="21" customHeight="1">
      <c r="A49" s="41">
        <v>46</v>
      </c>
      <c r="B49" s="68" t="s">
        <v>15</v>
      </c>
      <c r="C49" s="2"/>
      <c r="D49" s="60" t="s">
        <v>16</v>
      </c>
      <c r="E49" s="39" t="s">
        <v>9</v>
      </c>
      <c r="F49" s="40">
        <v>7.2</v>
      </c>
      <c r="G49" s="63" t="s">
        <v>238</v>
      </c>
      <c r="H49" s="40">
        <v>7.2</v>
      </c>
      <c r="I49" s="59">
        <v>40677</v>
      </c>
    </row>
    <row r="50" spans="1:9" s="1" customFormat="1" ht="21" customHeight="1">
      <c r="A50" s="41">
        <v>47</v>
      </c>
      <c r="B50" s="68" t="s">
        <v>72</v>
      </c>
      <c r="C50" s="2"/>
      <c r="D50" s="58" t="s">
        <v>38</v>
      </c>
      <c r="E50" s="39" t="s">
        <v>11</v>
      </c>
      <c r="F50" s="40">
        <v>3</v>
      </c>
      <c r="G50" s="63">
        <v>21</v>
      </c>
      <c r="H50" s="40">
        <f>3*21</f>
        <v>63</v>
      </c>
      <c r="I50" s="59">
        <v>40682</v>
      </c>
    </row>
    <row r="51" spans="1:9" s="1" customFormat="1" ht="21" customHeight="1">
      <c r="A51" s="41">
        <v>48</v>
      </c>
      <c r="B51" s="68" t="s">
        <v>73</v>
      </c>
      <c r="C51" s="2"/>
      <c r="D51" s="58" t="s">
        <v>63</v>
      </c>
      <c r="E51" s="39" t="s">
        <v>6</v>
      </c>
      <c r="F51" s="40">
        <v>1.92</v>
      </c>
      <c r="G51" s="63">
        <v>2</v>
      </c>
      <c r="H51" s="40">
        <f>2*1.92</f>
        <v>3.84</v>
      </c>
      <c r="I51" s="59">
        <v>40682</v>
      </c>
    </row>
    <row r="52" spans="1:9" s="1" customFormat="1" ht="21" customHeight="1">
      <c r="A52" s="41">
        <v>49</v>
      </c>
      <c r="B52" s="68" t="s">
        <v>221</v>
      </c>
      <c r="C52" s="2"/>
      <c r="D52" s="58" t="s">
        <v>38</v>
      </c>
      <c r="E52" s="39" t="s">
        <v>11</v>
      </c>
      <c r="F52" s="40">
        <v>2.5</v>
      </c>
      <c r="G52" s="63">
        <v>4</v>
      </c>
      <c r="H52" s="40">
        <f>4*2.5</f>
        <v>10</v>
      </c>
      <c r="I52" s="59">
        <v>40683</v>
      </c>
    </row>
    <row r="53" spans="1:9" s="1" customFormat="1" ht="21" customHeight="1">
      <c r="A53" s="41">
        <v>50</v>
      </c>
      <c r="B53" s="68" t="s">
        <v>79</v>
      </c>
      <c r="C53" s="2"/>
      <c r="D53" s="58" t="s">
        <v>49</v>
      </c>
      <c r="E53" s="39" t="s">
        <v>6</v>
      </c>
      <c r="F53" s="40">
        <v>1.518</v>
      </c>
      <c r="G53" s="63">
        <v>1</v>
      </c>
      <c r="H53" s="40">
        <v>1.518</v>
      </c>
      <c r="I53" s="59">
        <v>40683</v>
      </c>
    </row>
    <row r="54" spans="1:9" s="1" customFormat="1" ht="21" customHeight="1">
      <c r="A54" s="41">
        <v>51</v>
      </c>
      <c r="B54" s="68" t="s">
        <v>235</v>
      </c>
      <c r="C54" s="2"/>
      <c r="D54" s="58" t="s">
        <v>243</v>
      </c>
      <c r="E54" s="39" t="s">
        <v>6</v>
      </c>
      <c r="F54" s="40">
        <v>8.4</v>
      </c>
      <c r="G54" s="63">
        <v>3</v>
      </c>
      <c r="H54" s="40">
        <f>3*8.4</f>
        <v>25.200000000000003</v>
      </c>
      <c r="I54" s="59">
        <v>40688</v>
      </c>
    </row>
    <row r="55" spans="1:9" s="1" customFormat="1" ht="21" customHeight="1">
      <c r="A55" s="41">
        <v>52</v>
      </c>
      <c r="B55" s="68" t="s">
        <v>236</v>
      </c>
      <c r="C55" s="2"/>
      <c r="D55" s="58" t="s">
        <v>53</v>
      </c>
      <c r="E55" s="39" t="s">
        <v>6</v>
      </c>
      <c r="F55" s="40">
        <v>2.97</v>
      </c>
      <c r="G55" s="63">
        <v>3</v>
      </c>
      <c r="H55" s="40">
        <f>3*2.97</f>
        <v>8.91</v>
      </c>
      <c r="I55" s="59">
        <v>40689</v>
      </c>
    </row>
    <row r="56" spans="1:9" s="1" customFormat="1" ht="21" customHeight="1">
      <c r="A56" s="41">
        <v>53</v>
      </c>
      <c r="B56" s="68" t="s">
        <v>237</v>
      </c>
      <c r="C56" s="2"/>
      <c r="D56" s="58" t="s">
        <v>42</v>
      </c>
      <c r="E56" s="39" t="s">
        <v>6</v>
      </c>
      <c r="F56" s="40">
        <v>6.644</v>
      </c>
      <c r="G56" s="63">
        <v>1</v>
      </c>
      <c r="H56" s="40">
        <v>6.644</v>
      </c>
      <c r="I56" s="59">
        <v>40689</v>
      </c>
    </row>
    <row r="57" spans="1:9" s="1" customFormat="1" ht="21" customHeight="1">
      <c r="A57" s="41">
        <v>54</v>
      </c>
      <c r="B57" s="47" t="s">
        <v>72</v>
      </c>
      <c r="C57" s="47" t="s">
        <v>127</v>
      </c>
      <c r="D57" s="38" t="s">
        <v>38</v>
      </c>
      <c r="E57" s="39" t="s">
        <v>11</v>
      </c>
      <c r="F57" s="40">
        <v>9</v>
      </c>
      <c r="G57" s="63">
        <v>3</v>
      </c>
      <c r="H57" s="6">
        <f>9*3</f>
        <v>27</v>
      </c>
      <c r="I57" s="7">
        <v>40697</v>
      </c>
    </row>
    <row r="58" spans="1:9" s="1" customFormat="1" ht="21" customHeight="1">
      <c r="A58" s="41">
        <v>55</v>
      </c>
      <c r="B58" s="47" t="s">
        <v>73</v>
      </c>
      <c r="C58" s="47" t="s">
        <v>129</v>
      </c>
      <c r="D58" s="38" t="s">
        <v>63</v>
      </c>
      <c r="E58" s="39" t="s">
        <v>6</v>
      </c>
      <c r="F58" s="40">
        <v>1.54</v>
      </c>
      <c r="G58" s="63">
        <v>1.54</v>
      </c>
      <c r="H58" s="40">
        <f>2*1.54</f>
        <v>3.08</v>
      </c>
      <c r="I58" s="7">
        <v>40697</v>
      </c>
    </row>
    <row r="59" spans="1:9" s="1" customFormat="1" ht="21" customHeight="1">
      <c r="A59" s="41">
        <v>56</v>
      </c>
      <c r="B59" s="47" t="s">
        <v>74</v>
      </c>
      <c r="C59" s="47" t="s">
        <v>130</v>
      </c>
      <c r="D59" s="38" t="s">
        <v>67</v>
      </c>
      <c r="E59" s="39" t="s">
        <v>6</v>
      </c>
      <c r="F59" s="40">
        <v>2</v>
      </c>
      <c r="G59" s="63">
        <v>11</v>
      </c>
      <c r="H59" s="40">
        <f>2*11</f>
        <v>22</v>
      </c>
      <c r="I59" s="7">
        <v>40704</v>
      </c>
    </row>
    <row r="60" spans="1:9" s="1" customFormat="1" ht="21" customHeight="1">
      <c r="A60" s="41">
        <v>57</v>
      </c>
      <c r="B60" s="47" t="s">
        <v>76</v>
      </c>
      <c r="C60" s="47" t="s">
        <v>131</v>
      </c>
      <c r="D60" s="38" t="s">
        <v>132</v>
      </c>
      <c r="E60" s="39" t="s">
        <v>6</v>
      </c>
      <c r="F60" s="40">
        <v>2.869</v>
      </c>
      <c r="G60" s="63">
        <v>1</v>
      </c>
      <c r="H60" s="40">
        <v>2.869</v>
      </c>
      <c r="I60" s="7">
        <v>40709</v>
      </c>
    </row>
    <row r="61" spans="1:9" s="1" customFormat="1" ht="21" customHeight="1">
      <c r="A61" s="41">
        <v>58</v>
      </c>
      <c r="B61" s="47" t="s">
        <v>75</v>
      </c>
      <c r="C61" s="56"/>
      <c r="D61" s="9" t="s">
        <v>36</v>
      </c>
      <c r="E61" s="10" t="s">
        <v>7</v>
      </c>
      <c r="F61" s="11">
        <v>1.95</v>
      </c>
      <c r="G61" s="63" t="s">
        <v>47</v>
      </c>
      <c r="H61" s="40">
        <v>1.95</v>
      </c>
      <c r="I61" s="7">
        <v>40709</v>
      </c>
    </row>
    <row r="62" spans="1:9" s="1" customFormat="1" ht="21" customHeight="1">
      <c r="A62" s="41">
        <v>59</v>
      </c>
      <c r="B62" s="47" t="s">
        <v>77</v>
      </c>
      <c r="C62" s="47" t="s">
        <v>133</v>
      </c>
      <c r="D62" s="38" t="s">
        <v>124</v>
      </c>
      <c r="E62" s="39" t="s">
        <v>6</v>
      </c>
      <c r="F62" s="40">
        <v>5.679</v>
      </c>
      <c r="G62" s="63">
        <v>2</v>
      </c>
      <c r="H62" s="40">
        <f>2*5.679</f>
        <v>11.358</v>
      </c>
      <c r="I62" s="7">
        <v>40717</v>
      </c>
    </row>
    <row r="63" spans="1:9" s="1" customFormat="1" ht="21" customHeight="1">
      <c r="A63" s="41">
        <v>60</v>
      </c>
      <c r="B63" s="47" t="s">
        <v>78</v>
      </c>
      <c r="C63" s="47"/>
      <c r="D63" s="38" t="s">
        <v>125</v>
      </c>
      <c r="E63" s="39" t="s">
        <v>9</v>
      </c>
      <c r="F63" s="40">
        <v>3.904</v>
      </c>
      <c r="G63" s="63" t="s">
        <v>47</v>
      </c>
      <c r="H63" s="40">
        <v>3.904</v>
      </c>
      <c r="I63" s="7">
        <v>40718</v>
      </c>
    </row>
    <row r="64" spans="1:9" s="1" customFormat="1" ht="21" customHeight="1">
      <c r="A64" s="41">
        <v>61</v>
      </c>
      <c r="B64" s="47" t="s">
        <v>79</v>
      </c>
      <c r="C64" s="47" t="s">
        <v>128</v>
      </c>
      <c r="D64" s="38" t="s">
        <v>49</v>
      </c>
      <c r="E64" s="39" t="s">
        <v>6</v>
      </c>
      <c r="F64" s="40" t="s">
        <v>193</v>
      </c>
      <c r="G64" s="63">
        <v>2</v>
      </c>
      <c r="H64" s="40">
        <f>1.518+0.758</f>
        <v>2.276</v>
      </c>
      <c r="I64" s="7">
        <v>40723</v>
      </c>
    </row>
    <row r="65" spans="1:9" s="1" customFormat="1" ht="21" customHeight="1">
      <c r="A65" s="41">
        <v>62</v>
      </c>
      <c r="B65" s="47" t="s">
        <v>80</v>
      </c>
      <c r="C65" s="47" t="s">
        <v>134</v>
      </c>
      <c r="D65" s="38" t="s">
        <v>49</v>
      </c>
      <c r="E65" s="39" t="s">
        <v>6</v>
      </c>
      <c r="F65" s="40" t="s">
        <v>194</v>
      </c>
      <c r="G65" s="63">
        <v>2</v>
      </c>
      <c r="H65" s="40">
        <f>0.75+0.32</f>
        <v>1.07</v>
      </c>
      <c r="I65" s="7">
        <v>40724</v>
      </c>
    </row>
    <row r="66" spans="1:9" s="1" customFormat="1" ht="21" customHeight="1">
      <c r="A66" s="41">
        <v>63</v>
      </c>
      <c r="B66" s="47" t="s">
        <v>81</v>
      </c>
      <c r="C66" s="47" t="s">
        <v>135</v>
      </c>
      <c r="D66" s="38" t="s">
        <v>31</v>
      </c>
      <c r="E66" s="39" t="s">
        <v>11</v>
      </c>
      <c r="F66" s="40">
        <v>2.5</v>
      </c>
      <c r="G66" s="63">
        <v>8</v>
      </c>
      <c r="H66" s="40">
        <f>2.5*8</f>
        <v>20</v>
      </c>
      <c r="I66" s="7">
        <v>40725</v>
      </c>
    </row>
    <row r="67" spans="1:9" s="1" customFormat="1" ht="21" customHeight="1">
      <c r="A67" s="41">
        <v>64</v>
      </c>
      <c r="B67" s="47" t="s">
        <v>82</v>
      </c>
      <c r="C67" s="47"/>
      <c r="D67" s="38" t="s">
        <v>51</v>
      </c>
      <c r="E67" s="39" t="s">
        <v>9</v>
      </c>
      <c r="F67" s="40">
        <v>8.73</v>
      </c>
      <c r="G67" s="63">
        <v>15</v>
      </c>
      <c r="H67" s="40">
        <f>15*8.73</f>
        <v>130.95000000000002</v>
      </c>
      <c r="I67" s="7">
        <v>40725</v>
      </c>
    </row>
    <row r="68" spans="1:9" s="1" customFormat="1" ht="21" customHeight="1">
      <c r="A68" s="41">
        <v>65</v>
      </c>
      <c r="B68" s="47" t="s">
        <v>83</v>
      </c>
      <c r="C68" s="47" t="s">
        <v>136</v>
      </c>
      <c r="D68" s="38" t="s">
        <v>41</v>
      </c>
      <c r="E68" s="39" t="s">
        <v>6</v>
      </c>
      <c r="F68" s="40" t="s">
        <v>195</v>
      </c>
      <c r="G68" s="63">
        <v>2</v>
      </c>
      <c r="H68" s="40">
        <f>1.163+0.442</f>
        <v>1.605</v>
      </c>
      <c r="I68" s="7">
        <v>40728</v>
      </c>
    </row>
    <row r="69" spans="1:9" s="1" customFormat="1" ht="21" customHeight="1">
      <c r="A69" s="41">
        <v>66</v>
      </c>
      <c r="B69" s="47" t="s">
        <v>84</v>
      </c>
      <c r="C69" s="47" t="s">
        <v>137</v>
      </c>
      <c r="D69" s="38" t="s">
        <v>70</v>
      </c>
      <c r="E69" s="39" t="s">
        <v>6</v>
      </c>
      <c r="F69" s="40">
        <v>2.12</v>
      </c>
      <c r="G69" s="63">
        <v>3</v>
      </c>
      <c r="H69" s="40">
        <f>3*2.12</f>
        <v>6.36</v>
      </c>
      <c r="I69" s="7">
        <v>40737</v>
      </c>
    </row>
    <row r="70" spans="1:9" s="1" customFormat="1" ht="21" customHeight="1">
      <c r="A70" s="41">
        <v>67</v>
      </c>
      <c r="B70" s="47" t="s">
        <v>28</v>
      </c>
      <c r="C70" s="47"/>
      <c r="D70" s="38" t="s">
        <v>31</v>
      </c>
      <c r="E70" s="39" t="s">
        <v>9</v>
      </c>
      <c r="F70" s="40">
        <v>22</v>
      </c>
      <c r="G70" s="63" t="s">
        <v>43</v>
      </c>
      <c r="H70" s="40">
        <f>2*21.75</f>
        <v>43.5</v>
      </c>
      <c r="I70" s="7">
        <v>40737</v>
      </c>
    </row>
    <row r="71" spans="1:9" s="1" customFormat="1" ht="21" customHeight="1">
      <c r="A71" s="41">
        <v>68</v>
      </c>
      <c r="B71" s="47" t="s">
        <v>85</v>
      </c>
      <c r="C71" s="47" t="s">
        <v>138</v>
      </c>
      <c r="D71" s="38" t="s">
        <v>50</v>
      </c>
      <c r="E71" s="39" t="s">
        <v>9</v>
      </c>
      <c r="F71" s="40">
        <v>1.558</v>
      </c>
      <c r="G71" s="63" t="s">
        <v>47</v>
      </c>
      <c r="H71" s="40">
        <v>1.558</v>
      </c>
      <c r="I71" s="7">
        <v>40739</v>
      </c>
    </row>
    <row r="72" spans="1:9" s="1" customFormat="1" ht="21" customHeight="1">
      <c r="A72" s="41">
        <v>69</v>
      </c>
      <c r="B72" s="47" t="s">
        <v>86</v>
      </c>
      <c r="C72" s="47" t="s">
        <v>138</v>
      </c>
      <c r="D72" s="38" t="s">
        <v>39</v>
      </c>
      <c r="E72" s="39" t="s">
        <v>9</v>
      </c>
      <c r="F72" s="40">
        <v>2</v>
      </c>
      <c r="G72" s="63" t="s">
        <v>47</v>
      </c>
      <c r="H72" s="40">
        <v>2</v>
      </c>
      <c r="I72" s="7">
        <v>40740</v>
      </c>
    </row>
    <row r="73" spans="1:9" s="1" customFormat="1" ht="21" customHeight="1">
      <c r="A73" s="41">
        <v>70</v>
      </c>
      <c r="B73" s="47" t="s">
        <v>87</v>
      </c>
      <c r="C73" s="47" t="s">
        <v>139</v>
      </c>
      <c r="D73" s="38" t="s">
        <v>140</v>
      </c>
      <c r="E73" s="39" t="s">
        <v>6</v>
      </c>
      <c r="F73" s="40" t="s">
        <v>196</v>
      </c>
      <c r="G73" s="63">
        <v>3</v>
      </c>
      <c r="H73" s="40">
        <f>2.23*2+1</f>
        <v>5.46</v>
      </c>
      <c r="I73" s="7">
        <v>40744</v>
      </c>
    </row>
    <row r="74" spans="1:9" s="1" customFormat="1" ht="21" customHeight="1">
      <c r="A74" s="41">
        <v>71</v>
      </c>
      <c r="B74" s="47" t="s">
        <v>88</v>
      </c>
      <c r="C74" s="47" t="s">
        <v>141</v>
      </c>
      <c r="D74" s="38" t="s">
        <v>51</v>
      </c>
      <c r="E74" s="39" t="s">
        <v>11</v>
      </c>
      <c r="F74" s="40">
        <v>2</v>
      </c>
      <c r="G74" s="63">
        <v>15</v>
      </c>
      <c r="H74" s="40">
        <f>15*2</f>
        <v>30</v>
      </c>
      <c r="I74" s="7">
        <v>40746</v>
      </c>
    </row>
    <row r="75" spans="1:9" s="1" customFormat="1" ht="21" customHeight="1">
      <c r="A75" s="41">
        <v>72</v>
      </c>
      <c r="B75" s="47" t="s">
        <v>89</v>
      </c>
      <c r="C75" s="47" t="s">
        <v>142</v>
      </c>
      <c r="D75" s="38" t="s">
        <v>143</v>
      </c>
      <c r="E75" s="39" t="s">
        <v>9</v>
      </c>
      <c r="F75" s="40">
        <v>9.73</v>
      </c>
      <c r="G75" s="63" t="s">
        <v>197</v>
      </c>
      <c r="H75" s="40">
        <f>12*9.73</f>
        <v>116.76</v>
      </c>
      <c r="I75" s="7">
        <v>40750</v>
      </c>
    </row>
    <row r="76" spans="1:9" s="1" customFormat="1" ht="21" customHeight="1">
      <c r="A76" s="41">
        <v>73</v>
      </c>
      <c r="B76" s="47" t="s">
        <v>122</v>
      </c>
      <c r="C76" s="47" t="s">
        <v>144</v>
      </c>
      <c r="D76" s="38" t="s">
        <v>145</v>
      </c>
      <c r="E76" s="39" t="s">
        <v>6</v>
      </c>
      <c r="F76" s="40">
        <v>55.16</v>
      </c>
      <c r="G76" s="63">
        <v>2</v>
      </c>
      <c r="H76" s="40">
        <f>2*(55.16-48.5)</f>
        <v>13.319999999999993</v>
      </c>
      <c r="I76" s="7">
        <v>40750</v>
      </c>
    </row>
    <row r="77" spans="1:9" s="1" customFormat="1" ht="21" customHeight="1">
      <c r="A77" s="41">
        <v>74</v>
      </c>
      <c r="B77" s="47" t="s">
        <v>90</v>
      </c>
      <c r="C77" s="47" t="s">
        <v>146</v>
      </c>
      <c r="D77" s="38" t="s">
        <v>50</v>
      </c>
      <c r="E77" s="39" t="s">
        <v>9</v>
      </c>
      <c r="F77" s="40">
        <v>0.514</v>
      </c>
      <c r="G77" s="63" t="s">
        <v>47</v>
      </c>
      <c r="H77" s="40">
        <v>0.514</v>
      </c>
      <c r="I77" s="7">
        <v>40753</v>
      </c>
    </row>
    <row r="78" spans="1:9" s="1" customFormat="1" ht="21" customHeight="1">
      <c r="A78" s="41">
        <v>75</v>
      </c>
      <c r="B78" s="47" t="s">
        <v>72</v>
      </c>
      <c r="C78" s="47" t="s">
        <v>127</v>
      </c>
      <c r="D78" s="38" t="s">
        <v>38</v>
      </c>
      <c r="E78" s="39" t="s">
        <v>11</v>
      </c>
      <c r="F78" s="40">
        <v>3</v>
      </c>
      <c r="G78" s="63">
        <v>1</v>
      </c>
      <c r="H78" s="40">
        <v>3</v>
      </c>
      <c r="I78" s="7">
        <v>40753</v>
      </c>
    </row>
    <row r="79" spans="1:9" s="1" customFormat="1" ht="21" customHeight="1">
      <c r="A79" s="41">
        <v>76</v>
      </c>
      <c r="B79" s="47" t="s">
        <v>73</v>
      </c>
      <c r="C79" s="47" t="s">
        <v>147</v>
      </c>
      <c r="D79" s="38" t="s">
        <v>124</v>
      </c>
      <c r="E79" s="39" t="s">
        <v>6</v>
      </c>
      <c r="F79" s="40">
        <v>2.05</v>
      </c>
      <c r="G79" s="63">
        <v>2</v>
      </c>
      <c r="H79" s="40">
        <f>2.05*2</f>
        <v>4.1</v>
      </c>
      <c r="I79" s="7">
        <v>40758</v>
      </c>
    </row>
    <row r="80" spans="1:9" s="1" customFormat="1" ht="21" customHeight="1">
      <c r="A80" s="41">
        <v>77</v>
      </c>
      <c r="B80" s="47" t="s">
        <v>81</v>
      </c>
      <c r="C80" s="47" t="s">
        <v>135</v>
      </c>
      <c r="D80" s="38" t="s">
        <v>31</v>
      </c>
      <c r="E80" s="39" t="s">
        <v>11</v>
      </c>
      <c r="F80" s="40">
        <v>2.5</v>
      </c>
      <c r="G80" s="63">
        <v>8</v>
      </c>
      <c r="H80" s="40">
        <f>2.5*8</f>
        <v>20</v>
      </c>
      <c r="I80" s="7">
        <v>40759</v>
      </c>
    </row>
    <row r="81" spans="1:9" s="1" customFormat="1" ht="21" customHeight="1">
      <c r="A81" s="41">
        <v>78</v>
      </c>
      <c r="B81" s="47" t="s">
        <v>93</v>
      </c>
      <c r="C81" s="47" t="s">
        <v>148</v>
      </c>
      <c r="D81" s="38" t="s">
        <v>50</v>
      </c>
      <c r="E81" s="39" t="s">
        <v>9</v>
      </c>
      <c r="F81" s="40">
        <v>2.014</v>
      </c>
      <c r="G81" s="63" t="s">
        <v>47</v>
      </c>
      <c r="H81" s="40">
        <v>2.014</v>
      </c>
      <c r="I81" s="7">
        <v>40760</v>
      </c>
    </row>
    <row r="82" spans="1:9" s="1" customFormat="1" ht="21" customHeight="1">
      <c r="A82" s="41">
        <v>79</v>
      </c>
      <c r="B82" s="47" t="s">
        <v>91</v>
      </c>
      <c r="C82" s="47" t="s">
        <v>149</v>
      </c>
      <c r="D82" s="38" t="s">
        <v>69</v>
      </c>
      <c r="E82" s="39" t="s">
        <v>6</v>
      </c>
      <c r="F82" s="40">
        <v>3.03</v>
      </c>
      <c r="G82" s="63">
        <v>1</v>
      </c>
      <c r="H82" s="40">
        <v>3.03</v>
      </c>
      <c r="I82" s="7">
        <v>40760</v>
      </c>
    </row>
    <row r="83" spans="1:9" s="1" customFormat="1" ht="21" customHeight="1">
      <c r="A83" s="41">
        <v>80</v>
      </c>
      <c r="B83" s="47" t="s">
        <v>73</v>
      </c>
      <c r="C83" s="47" t="s">
        <v>150</v>
      </c>
      <c r="D83" s="38" t="s">
        <v>124</v>
      </c>
      <c r="E83" s="39" t="s">
        <v>6</v>
      </c>
      <c r="F83" s="40">
        <v>2.3</v>
      </c>
      <c r="G83" s="63">
        <v>2</v>
      </c>
      <c r="H83" s="40">
        <f>2.3*2</f>
        <v>4.6</v>
      </c>
      <c r="I83" s="7">
        <v>40760</v>
      </c>
    </row>
    <row r="84" spans="1:9" s="1" customFormat="1" ht="21" customHeight="1">
      <c r="A84" s="41">
        <v>81</v>
      </c>
      <c r="B84" s="47" t="s">
        <v>92</v>
      </c>
      <c r="C84" s="47" t="s">
        <v>151</v>
      </c>
      <c r="D84" s="38" t="s">
        <v>66</v>
      </c>
      <c r="E84" s="39" t="s">
        <v>6</v>
      </c>
      <c r="F84" s="40">
        <v>9.191</v>
      </c>
      <c r="G84" s="63">
        <v>1</v>
      </c>
      <c r="H84" s="40">
        <v>9.191</v>
      </c>
      <c r="I84" s="7">
        <v>40760</v>
      </c>
    </row>
    <row r="85" spans="1:9" s="1" customFormat="1" ht="21" customHeight="1">
      <c r="A85" s="41">
        <v>82</v>
      </c>
      <c r="B85" s="47" t="s">
        <v>95</v>
      </c>
      <c r="C85" s="47" t="s">
        <v>152</v>
      </c>
      <c r="D85" s="38" t="s">
        <v>66</v>
      </c>
      <c r="E85" s="39" t="s">
        <v>6</v>
      </c>
      <c r="F85" s="40">
        <v>2.824</v>
      </c>
      <c r="G85" s="63">
        <v>1</v>
      </c>
      <c r="H85" s="40">
        <v>2.824</v>
      </c>
      <c r="I85" s="7">
        <v>40766</v>
      </c>
    </row>
    <row r="86" spans="1:9" s="1" customFormat="1" ht="21" customHeight="1">
      <c r="A86" s="41">
        <v>83</v>
      </c>
      <c r="B86" s="47" t="s">
        <v>94</v>
      </c>
      <c r="C86" s="47" t="s">
        <v>153</v>
      </c>
      <c r="D86" s="38" t="s">
        <v>38</v>
      </c>
      <c r="E86" s="39" t="s">
        <v>11</v>
      </c>
      <c r="F86" s="40">
        <v>3</v>
      </c>
      <c r="G86" s="63">
        <v>1</v>
      </c>
      <c r="H86" s="40">
        <v>3</v>
      </c>
      <c r="I86" s="7">
        <v>40766</v>
      </c>
    </row>
    <row r="87" spans="1:9" s="1" customFormat="1" ht="21" customHeight="1">
      <c r="A87" s="41">
        <v>84</v>
      </c>
      <c r="B87" s="47" t="s">
        <v>96</v>
      </c>
      <c r="C87" s="47" t="s">
        <v>154</v>
      </c>
      <c r="D87" s="38" t="s">
        <v>39</v>
      </c>
      <c r="E87" s="39" t="s">
        <v>14</v>
      </c>
      <c r="F87" s="40">
        <v>1.131</v>
      </c>
      <c r="G87" s="63" t="s">
        <v>198</v>
      </c>
      <c r="H87" s="40">
        <f>1.131*4</f>
        <v>4.524</v>
      </c>
      <c r="I87" s="7">
        <v>40779</v>
      </c>
    </row>
    <row r="88" spans="1:9" s="1" customFormat="1" ht="21" customHeight="1">
      <c r="A88" s="41">
        <v>85</v>
      </c>
      <c r="B88" s="47" t="s">
        <v>52</v>
      </c>
      <c r="C88" s="47" t="s">
        <v>155</v>
      </c>
      <c r="D88" s="38" t="s">
        <v>66</v>
      </c>
      <c r="E88" s="39" t="s">
        <v>6</v>
      </c>
      <c r="F88" s="40">
        <v>5</v>
      </c>
      <c r="G88" s="63">
        <v>1</v>
      </c>
      <c r="H88" s="40">
        <v>4.633</v>
      </c>
      <c r="I88" s="7">
        <v>40780</v>
      </c>
    </row>
    <row r="89" spans="1:9" s="1" customFormat="1" ht="21" customHeight="1">
      <c r="A89" s="41">
        <v>86</v>
      </c>
      <c r="B89" s="47" t="s">
        <v>97</v>
      </c>
      <c r="C89" s="47" t="s">
        <v>156</v>
      </c>
      <c r="D89" s="38" t="s">
        <v>68</v>
      </c>
      <c r="E89" s="39" t="s">
        <v>6</v>
      </c>
      <c r="F89" s="40">
        <v>9.359</v>
      </c>
      <c r="G89" s="63">
        <v>2</v>
      </c>
      <c r="H89" s="40">
        <f>2*9.359</f>
        <v>18.718</v>
      </c>
      <c r="I89" s="7">
        <v>40780</v>
      </c>
    </row>
    <row r="90" spans="1:9" s="1" customFormat="1" ht="21" customHeight="1">
      <c r="A90" s="41">
        <v>87</v>
      </c>
      <c r="B90" s="47" t="s">
        <v>98</v>
      </c>
      <c r="C90" s="47" t="s">
        <v>157</v>
      </c>
      <c r="D90" s="38" t="s">
        <v>158</v>
      </c>
      <c r="E90" s="39" t="s">
        <v>14</v>
      </c>
      <c r="F90" s="40">
        <v>1.131</v>
      </c>
      <c r="G90" s="63" t="s">
        <v>47</v>
      </c>
      <c r="H90" s="40">
        <v>1.131</v>
      </c>
      <c r="I90" s="7">
        <v>40781</v>
      </c>
    </row>
    <row r="91" spans="1:9" s="1" customFormat="1" ht="21" customHeight="1">
      <c r="A91" s="41">
        <v>88</v>
      </c>
      <c r="B91" s="47" t="s">
        <v>99</v>
      </c>
      <c r="C91" s="47" t="s">
        <v>159</v>
      </c>
      <c r="D91" s="38" t="s">
        <v>55</v>
      </c>
      <c r="E91" s="39" t="s">
        <v>14</v>
      </c>
      <c r="F91" s="40">
        <v>1.415</v>
      </c>
      <c r="G91" s="63" t="s">
        <v>199</v>
      </c>
      <c r="H91" s="40">
        <f>3*1.415</f>
        <v>4.245</v>
      </c>
      <c r="I91" s="7">
        <v>40795</v>
      </c>
    </row>
    <row r="92" spans="1:9" s="1" customFormat="1" ht="21" customHeight="1">
      <c r="A92" s="41">
        <v>89</v>
      </c>
      <c r="B92" s="47" t="s">
        <v>100</v>
      </c>
      <c r="C92" s="47" t="s">
        <v>160</v>
      </c>
      <c r="D92" s="38" t="s">
        <v>54</v>
      </c>
      <c r="E92" s="39" t="s">
        <v>9</v>
      </c>
      <c r="F92" s="40">
        <v>46.5</v>
      </c>
      <c r="G92" s="63" t="s">
        <v>43</v>
      </c>
      <c r="H92" s="40">
        <f>2*46.5</f>
        <v>93</v>
      </c>
      <c r="I92" s="7">
        <v>40796</v>
      </c>
    </row>
    <row r="93" spans="1:9" s="1" customFormat="1" ht="21" customHeight="1">
      <c r="A93" s="41">
        <v>90</v>
      </c>
      <c r="B93" s="49" t="s">
        <v>84</v>
      </c>
      <c r="C93" s="57" t="s">
        <v>161</v>
      </c>
      <c r="D93" s="43" t="s">
        <v>70</v>
      </c>
      <c r="E93" s="53" t="s">
        <v>6</v>
      </c>
      <c r="F93" s="54">
        <v>1.267</v>
      </c>
      <c r="G93" s="63">
        <v>3</v>
      </c>
      <c r="H93" s="40">
        <f>3*1.267</f>
        <v>3.8009999999999997</v>
      </c>
      <c r="I93" s="7">
        <v>40802</v>
      </c>
    </row>
    <row r="94" spans="1:9" s="1" customFormat="1" ht="21" customHeight="1">
      <c r="A94" s="41">
        <v>91</v>
      </c>
      <c r="B94" s="47" t="s">
        <v>101</v>
      </c>
      <c r="C94" s="47" t="s">
        <v>162</v>
      </c>
      <c r="D94" s="38" t="s">
        <v>49</v>
      </c>
      <c r="E94" s="39" t="s">
        <v>6</v>
      </c>
      <c r="F94" s="40">
        <v>1.33</v>
      </c>
      <c r="G94" s="63">
        <v>2</v>
      </c>
      <c r="H94" s="40">
        <f>2*1.33</f>
        <v>2.66</v>
      </c>
      <c r="I94" s="7">
        <v>40802</v>
      </c>
    </row>
    <row r="95" spans="1:9" s="1" customFormat="1" ht="21" customHeight="1">
      <c r="A95" s="41">
        <v>92</v>
      </c>
      <c r="B95" s="47" t="s">
        <v>102</v>
      </c>
      <c r="C95" s="47" t="s">
        <v>163</v>
      </c>
      <c r="D95" s="38" t="s">
        <v>36</v>
      </c>
      <c r="E95" s="39" t="s">
        <v>9</v>
      </c>
      <c r="F95" s="40">
        <v>300</v>
      </c>
      <c r="G95" s="63" t="s">
        <v>10</v>
      </c>
      <c r="H95" s="40">
        <v>0</v>
      </c>
      <c r="I95" s="7">
        <v>40803</v>
      </c>
    </row>
    <row r="96" spans="1:9" s="1" customFormat="1" ht="21" customHeight="1">
      <c r="A96" s="41">
        <v>93</v>
      </c>
      <c r="B96" s="47" t="s">
        <v>81</v>
      </c>
      <c r="C96" s="47" t="s">
        <v>135</v>
      </c>
      <c r="D96" s="38" t="s">
        <v>31</v>
      </c>
      <c r="E96" s="39" t="s">
        <v>11</v>
      </c>
      <c r="F96" s="40" t="s">
        <v>200</v>
      </c>
      <c r="G96" s="63">
        <v>2</v>
      </c>
      <c r="H96" s="40">
        <f>2.5+1.25</f>
        <v>3.75</v>
      </c>
      <c r="I96" s="7">
        <v>40809</v>
      </c>
    </row>
    <row r="97" spans="1:9" s="1" customFormat="1" ht="21" customHeight="1">
      <c r="A97" s="41">
        <v>94</v>
      </c>
      <c r="B97" s="47" t="s">
        <v>17</v>
      </c>
      <c r="C97" s="47" t="s">
        <v>164</v>
      </c>
      <c r="D97" s="38" t="s">
        <v>51</v>
      </c>
      <c r="E97" s="39" t="s">
        <v>11</v>
      </c>
      <c r="F97" s="40">
        <v>2.5</v>
      </c>
      <c r="G97" s="63">
        <v>4</v>
      </c>
      <c r="H97" s="40">
        <f>4*2.5</f>
        <v>10</v>
      </c>
      <c r="I97" s="7">
        <v>40813</v>
      </c>
    </row>
    <row r="98" spans="1:9" s="1" customFormat="1" ht="21" customHeight="1">
      <c r="A98" s="41">
        <v>95</v>
      </c>
      <c r="B98" s="47" t="s">
        <v>52</v>
      </c>
      <c r="C98" s="47" t="s">
        <v>155</v>
      </c>
      <c r="D98" s="38" t="s">
        <v>66</v>
      </c>
      <c r="E98" s="39" t="s">
        <v>6</v>
      </c>
      <c r="F98" s="40">
        <v>4.633</v>
      </c>
      <c r="G98" s="63">
        <v>1</v>
      </c>
      <c r="H98" s="40">
        <v>4.633</v>
      </c>
      <c r="I98" s="7">
        <v>40815</v>
      </c>
    </row>
    <row r="99" spans="1:9" s="1" customFormat="1" ht="21" customHeight="1">
      <c r="A99" s="41">
        <v>96</v>
      </c>
      <c r="B99" s="48" t="s">
        <v>103</v>
      </c>
      <c r="C99" s="48" t="s">
        <v>165</v>
      </c>
      <c r="D99" s="52" t="s">
        <v>39</v>
      </c>
      <c r="E99" s="4" t="s">
        <v>9</v>
      </c>
      <c r="F99" s="6">
        <v>9.73</v>
      </c>
      <c r="G99" s="5" t="s">
        <v>201</v>
      </c>
      <c r="H99" s="6">
        <f>9.73*5</f>
        <v>48.650000000000006</v>
      </c>
      <c r="I99" s="7">
        <v>40816</v>
      </c>
    </row>
    <row r="100" spans="1:9" s="1" customFormat="1" ht="21" customHeight="1">
      <c r="A100" s="41">
        <v>97</v>
      </c>
      <c r="B100" s="47" t="s">
        <v>104</v>
      </c>
      <c r="C100" s="47" t="s">
        <v>166</v>
      </c>
      <c r="D100" s="38" t="s">
        <v>32</v>
      </c>
      <c r="E100" s="39" t="s">
        <v>14</v>
      </c>
      <c r="F100" s="40">
        <v>1.415</v>
      </c>
      <c r="G100" s="63" t="s">
        <v>47</v>
      </c>
      <c r="H100" s="40">
        <v>1.415</v>
      </c>
      <c r="I100" s="7">
        <v>40822</v>
      </c>
    </row>
    <row r="101" spans="1:9" s="1" customFormat="1" ht="21" customHeight="1">
      <c r="A101" s="41">
        <v>98</v>
      </c>
      <c r="B101" s="47" t="s">
        <v>102</v>
      </c>
      <c r="C101" s="47" t="s">
        <v>163</v>
      </c>
      <c r="D101" s="38" t="s">
        <v>36</v>
      </c>
      <c r="E101" s="39" t="s">
        <v>9</v>
      </c>
      <c r="F101" s="40">
        <v>300</v>
      </c>
      <c r="G101" s="63" t="s">
        <v>10</v>
      </c>
      <c r="H101" s="40">
        <v>300</v>
      </c>
      <c r="I101" s="55">
        <v>40823</v>
      </c>
    </row>
    <row r="102" spans="1:9" s="1" customFormat="1" ht="21" customHeight="1">
      <c r="A102" s="41">
        <v>99</v>
      </c>
      <c r="B102" s="47" t="s">
        <v>34</v>
      </c>
      <c r="C102" s="47" t="s">
        <v>35</v>
      </c>
      <c r="D102" s="38" t="s">
        <v>36</v>
      </c>
      <c r="E102" s="39" t="s">
        <v>6</v>
      </c>
      <c r="F102" s="40">
        <v>3.145</v>
      </c>
      <c r="G102" s="63">
        <v>1</v>
      </c>
      <c r="H102" s="40">
        <v>3.145</v>
      </c>
      <c r="I102" s="7">
        <v>40824</v>
      </c>
    </row>
    <row r="103" spans="1:9" s="1" customFormat="1" ht="21" customHeight="1">
      <c r="A103" s="41">
        <v>100</v>
      </c>
      <c r="B103" s="47" t="s">
        <v>105</v>
      </c>
      <c r="C103" s="47" t="s">
        <v>167</v>
      </c>
      <c r="D103" s="38" t="s">
        <v>126</v>
      </c>
      <c r="E103" s="39" t="s">
        <v>6</v>
      </c>
      <c r="F103" s="40">
        <v>16.555</v>
      </c>
      <c r="G103" s="63">
        <v>2</v>
      </c>
      <c r="H103" s="40">
        <f>2*16.555</f>
        <v>33.11</v>
      </c>
      <c r="I103" s="7">
        <v>40828</v>
      </c>
    </row>
    <row r="104" spans="1:9" s="1" customFormat="1" ht="21" customHeight="1">
      <c r="A104" s="41">
        <v>101</v>
      </c>
      <c r="B104" s="47" t="s">
        <v>74</v>
      </c>
      <c r="C104" s="47" t="s">
        <v>130</v>
      </c>
      <c r="D104" s="38" t="s">
        <v>67</v>
      </c>
      <c r="E104" s="39" t="s">
        <v>6</v>
      </c>
      <c r="F104" s="40">
        <v>11</v>
      </c>
      <c r="G104" s="63">
        <v>1</v>
      </c>
      <c r="H104" s="40">
        <v>11</v>
      </c>
      <c r="I104" s="7">
        <v>40829</v>
      </c>
    </row>
    <row r="105" spans="1:9" s="1" customFormat="1" ht="21" customHeight="1">
      <c r="A105" s="41">
        <v>102</v>
      </c>
      <c r="B105" s="47" t="s">
        <v>107</v>
      </c>
      <c r="C105" s="47" t="s">
        <v>168</v>
      </c>
      <c r="D105" s="38" t="s">
        <v>63</v>
      </c>
      <c r="E105" s="39" t="s">
        <v>6</v>
      </c>
      <c r="F105" s="40">
        <v>10.95</v>
      </c>
      <c r="G105" s="63">
        <v>2</v>
      </c>
      <c r="H105" s="40">
        <f>2*10.95</f>
        <v>21.9</v>
      </c>
      <c r="I105" s="7">
        <v>40829</v>
      </c>
    </row>
    <row r="106" spans="1:9" s="1" customFormat="1" ht="21" customHeight="1">
      <c r="A106" s="41">
        <v>103</v>
      </c>
      <c r="B106" s="47" t="s">
        <v>106</v>
      </c>
      <c r="C106" s="47" t="s">
        <v>169</v>
      </c>
      <c r="D106" s="38" t="s">
        <v>18</v>
      </c>
      <c r="E106" s="39" t="s">
        <v>11</v>
      </c>
      <c r="F106" s="40">
        <v>2.5</v>
      </c>
      <c r="G106" s="63">
        <v>8</v>
      </c>
      <c r="H106" s="40">
        <f>8*2.5</f>
        <v>20</v>
      </c>
      <c r="I106" s="7">
        <v>40829</v>
      </c>
    </row>
    <row r="107" spans="1:9" s="1" customFormat="1" ht="21" customHeight="1">
      <c r="A107" s="41">
        <v>104</v>
      </c>
      <c r="B107" s="47" t="s">
        <v>99</v>
      </c>
      <c r="C107" s="47" t="s">
        <v>170</v>
      </c>
      <c r="D107" s="38" t="s">
        <v>50</v>
      </c>
      <c r="E107" s="39" t="s">
        <v>14</v>
      </c>
      <c r="F107" s="40">
        <v>1.413</v>
      </c>
      <c r="G107" s="63" t="s">
        <v>40</v>
      </c>
      <c r="H107" s="40">
        <f>2*1.413</f>
        <v>2.826</v>
      </c>
      <c r="I107" s="7">
        <v>40830</v>
      </c>
    </row>
    <row r="108" spans="1:9" s="1" customFormat="1" ht="21" customHeight="1">
      <c r="A108" s="41">
        <v>105</v>
      </c>
      <c r="B108" s="47" t="s">
        <v>108</v>
      </c>
      <c r="C108" s="47" t="s">
        <v>171</v>
      </c>
      <c r="D108" s="38" t="s">
        <v>57</v>
      </c>
      <c r="E108" s="39" t="s">
        <v>9</v>
      </c>
      <c r="F108" s="40">
        <v>2.145</v>
      </c>
      <c r="G108" s="63" t="s">
        <v>40</v>
      </c>
      <c r="H108" s="40">
        <f>2*2.145</f>
        <v>4.29</v>
      </c>
      <c r="I108" s="7">
        <v>40831</v>
      </c>
    </row>
    <row r="109" spans="1:9" s="1" customFormat="1" ht="21" customHeight="1">
      <c r="A109" s="41">
        <v>106</v>
      </c>
      <c r="B109" s="47" t="s">
        <v>99</v>
      </c>
      <c r="C109" s="47" t="s">
        <v>159</v>
      </c>
      <c r="D109" s="38" t="s">
        <v>55</v>
      </c>
      <c r="E109" s="39" t="s">
        <v>14</v>
      </c>
      <c r="F109" s="40">
        <v>1.415</v>
      </c>
      <c r="G109" s="63" t="s">
        <v>47</v>
      </c>
      <c r="H109" s="40">
        <v>1.415</v>
      </c>
      <c r="I109" s="7">
        <v>40837</v>
      </c>
    </row>
    <row r="110" spans="1:9" s="1" customFormat="1" ht="21" customHeight="1">
      <c r="A110" s="41">
        <v>107</v>
      </c>
      <c r="B110" s="47" t="s">
        <v>109</v>
      </c>
      <c r="C110" s="47" t="s">
        <v>172</v>
      </c>
      <c r="D110" s="38" t="s">
        <v>123</v>
      </c>
      <c r="E110" s="39" t="s">
        <v>11</v>
      </c>
      <c r="F110" s="40">
        <v>1.6666</v>
      </c>
      <c r="G110" s="63">
        <v>3</v>
      </c>
      <c r="H110" s="40">
        <f>1.6666*3</f>
        <v>4.9998000000000005</v>
      </c>
      <c r="I110" s="7">
        <v>40839</v>
      </c>
    </row>
    <row r="111" spans="1:9" s="1" customFormat="1" ht="21" customHeight="1">
      <c r="A111" s="41">
        <v>108</v>
      </c>
      <c r="B111" s="47" t="s">
        <v>110</v>
      </c>
      <c r="C111" s="47" t="s">
        <v>173</v>
      </c>
      <c r="D111" s="38" t="s">
        <v>125</v>
      </c>
      <c r="E111" s="39" t="s">
        <v>9</v>
      </c>
      <c r="F111" s="40">
        <v>2.677</v>
      </c>
      <c r="G111" s="63" t="s">
        <v>47</v>
      </c>
      <c r="H111" s="40">
        <v>2.677</v>
      </c>
      <c r="I111" s="7">
        <v>40841</v>
      </c>
    </row>
    <row r="112" spans="1:9" s="1" customFormat="1" ht="21" customHeight="1">
      <c r="A112" s="41">
        <v>109</v>
      </c>
      <c r="B112" s="47" t="s">
        <v>37</v>
      </c>
      <c r="C112" s="47" t="s">
        <v>174</v>
      </c>
      <c r="D112" s="38" t="s">
        <v>31</v>
      </c>
      <c r="E112" s="39" t="s">
        <v>11</v>
      </c>
      <c r="F112" s="40">
        <v>2</v>
      </c>
      <c r="G112" s="63">
        <v>10</v>
      </c>
      <c r="H112" s="40">
        <f>10*2</f>
        <v>20</v>
      </c>
      <c r="I112" s="7">
        <v>40843</v>
      </c>
    </row>
    <row r="113" spans="1:9" s="1" customFormat="1" ht="21" customHeight="1">
      <c r="A113" s="41">
        <v>110</v>
      </c>
      <c r="B113" s="47" t="s">
        <v>65</v>
      </c>
      <c r="C113" s="47" t="s">
        <v>175</v>
      </c>
      <c r="D113" s="38" t="s">
        <v>41</v>
      </c>
      <c r="E113" s="39" t="s">
        <v>6</v>
      </c>
      <c r="F113" s="40" t="s">
        <v>202</v>
      </c>
      <c r="G113" s="63">
        <v>3</v>
      </c>
      <c r="H113" s="40">
        <f>2*11+4.7</f>
        <v>26.7</v>
      </c>
      <c r="I113" s="7">
        <v>40843</v>
      </c>
    </row>
    <row r="114" spans="1:9" s="1" customFormat="1" ht="21" customHeight="1">
      <c r="A114" s="41">
        <v>111</v>
      </c>
      <c r="B114" s="47" t="s">
        <v>111</v>
      </c>
      <c r="C114" s="47" t="s">
        <v>176</v>
      </c>
      <c r="D114" s="38" t="s">
        <v>143</v>
      </c>
      <c r="E114" s="39" t="s">
        <v>9</v>
      </c>
      <c r="F114" s="40">
        <v>18.32</v>
      </c>
      <c r="G114" s="63" t="s">
        <v>199</v>
      </c>
      <c r="H114" s="40">
        <f>3*18.32</f>
        <v>54.96</v>
      </c>
      <c r="I114" s="7">
        <v>40844</v>
      </c>
    </row>
    <row r="115" spans="1:9" s="1" customFormat="1" ht="21" customHeight="1">
      <c r="A115" s="41">
        <v>112</v>
      </c>
      <c r="B115" s="47" t="s">
        <v>112</v>
      </c>
      <c r="C115" s="47" t="s">
        <v>177</v>
      </c>
      <c r="D115" s="38" t="s">
        <v>57</v>
      </c>
      <c r="E115" s="39" t="s">
        <v>14</v>
      </c>
      <c r="F115" s="40">
        <v>1.56</v>
      </c>
      <c r="G115" s="63" t="s">
        <v>47</v>
      </c>
      <c r="H115" s="40">
        <v>1.56</v>
      </c>
      <c r="I115" s="7">
        <v>40848</v>
      </c>
    </row>
    <row r="116" spans="1:9" s="1" customFormat="1" ht="21" customHeight="1">
      <c r="A116" s="41">
        <v>113</v>
      </c>
      <c r="B116" s="47" t="s">
        <v>44</v>
      </c>
      <c r="C116" s="47" t="s">
        <v>45</v>
      </c>
      <c r="D116" s="38" t="s">
        <v>46</v>
      </c>
      <c r="E116" s="39" t="s">
        <v>6</v>
      </c>
      <c r="F116" s="40">
        <v>1.8</v>
      </c>
      <c r="G116" s="63">
        <v>1</v>
      </c>
      <c r="H116" s="40">
        <v>1.8</v>
      </c>
      <c r="I116" s="7">
        <v>40850</v>
      </c>
    </row>
    <row r="117" spans="1:9" s="1" customFormat="1" ht="21" customHeight="1">
      <c r="A117" s="41">
        <v>114</v>
      </c>
      <c r="B117" s="47" t="s">
        <v>113</v>
      </c>
      <c r="C117" s="47" t="s">
        <v>178</v>
      </c>
      <c r="D117" s="38" t="s">
        <v>42</v>
      </c>
      <c r="E117" s="39" t="s">
        <v>6</v>
      </c>
      <c r="F117" s="40">
        <v>4.87</v>
      </c>
      <c r="G117" s="63">
        <v>2</v>
      </c>
      <c r="H117" s="40">
        <f>2*4.87</f>
        <v>9.74</v>
      </c>
      <c r="I117" s="7">
        <v>40851</v>
      </c>
    </row>
    <row r="118" spans="1:9" s="1" customFormat="1" ht="21" customHeight="1">
      <c r="A118" s="41">
        <v>115</v>
      </c>
      <c r="B118" s="47" t="s">
        <v>114</v>
      </c>
      <c r="C118" s="47" t="s">
        <v>179</v>
      </c>
      <c r="D118" s="38" t="s">
        <v>12</v>
      </c>
      <c r="E118" s="39" t="s">
        <v>19</v>
      </c>
      <c r="F118" s="40">
        <v>20</v>
      </c>
      <c r="G118" s="63">
        <v>1</v>
      </c>
      <c r="H118" s="40">
        <v>20</v>
      </c>
      <c r="I118" s="7">
        <v>40858</v>
      </c>
    </row>
    <row r="119" spans="1:9" s="1" customFormat="1" ht="21" customHeight="1">
      <c r="A119" s="41">
        <v>116</v>
      </c>
      <c r="B119" s="47" t="s">
        <v>115</v>
      </c>
      <c r="C119" s="47" t="s">
        <v>180</v>
      </c>
      <c r="D119" s="38" t="s">
        <v>38</v>
      </c>
      <c r="E119" s="39" t="s">
        <v>11</v>
      </c>
      <c r="F119" s="40" t="s">
        <v>203</v>
      </c>
      <c r="G119" s="63">
        <v>13</v>
      </c>
      <c r="H119" s="40">
        <f>3*2+10*1.8</f>
        <v>24</v>
      </c>
      <c r="I119" s="7">
        <v>40860</v>
      </c>
    </row>
    <row r="120" spans="1:9" s="1" customFormat="1" ht="21" customHeight="1">
      <c r="A120" s="41">
        <v>117</v>
      </c>
      <c r="B120" s="47" t="s">
        <v>102</v>
      </c>
      <c r="C120" s="47" t="s">
        <v>181</v>
      </c>
      <c r="D120" s="38" t="s">
        <v>182</v>
      </c>
      <c r="E120" s="39" t="s">
        <v>20</v>
      </c>
      <c r="F120" s="40">
        <v>10.7</v>
      </c>
      <c r="G120" s="63" t="s">
        <v>204</v>
      </c>
      <c r="H120" s="40">
        <f>3*10.7</f>
        <v>32.099999999999994</v>
      </c>
      <c r="I120" s="7">
        <v>40865</v>
      </c>
    </row>
    <row r="121" spans="1:9" s="1" customFormat="1" ht="21" customHeight="1">
      <c r="A121" s="41">
        <v>118</v>
      </c>
      <c r="B121" s="47" t="s">
        <v>116</v>
      </c>
      <c r="C121" s="47" t="s">
        <v>183</v>
      </c>
      <c r="D121" s="38" t="s">
        <v>140</v>
      </c>
      <c r="E121" s="39" t="s">
        <v>6</v>
      </c>
      <c r="F121" s="40">
        <v>7.448</v>
      </c>
      <c r="G121" s="63">
        <v>2</v>
      </c>
      <c r="H121" s="40">
        <f>2*7.448</f>
        <v>14.896</v>
      </c>
      <c r="I121" s="7">
        <v>40866</v>
      </c>
    </row>
    <row r="122" spans="1:9" s="1" customFormat="1" ht="21" customHeight="1">
      <c r="A122" s="41">
        <v>119</v>
      </c>
      <c r="B122" s="47" t="s">
        <v>73</v>
      </c>
      <c r="C122" s="47" t="s">
        <v>184</v>
      </c>
      <c r="D122" s="38" t="s">
        <v>124</v>
      </c>
      <c r="E122" s="39" t="s">
        <v>6</v>
      </c>
      <c r="F122" s="40">
        <v>3.45</v>
      </c>
      <c r="G122" s="63">
        <v>3</v>
      </c>
      <c r="H122" s="40">
        <f>3*3.45</f>
        <v>10.350000000000001</v>
      </c>
      <c r="I122" s="7">
        <v>40871</v>
      </c>
    </row>
    <row r="123" spans="1:9" s="1" customFormat="1" ht="21" customHeight="1">
      <c r="A123" s="41">
        <v>120</v>
      </c>
      <c r="B123" s="47" t="s">
        <v>117</v>
      </c>
      <c r="C123" s="47" t="s">
        <v>185</v>
      </c>
      <c r="D123" s="38" t="s">
        <v>186</v>
      </c>
      <c r="E123" s="39" t="s">
        <v>11</v>
      </c>
      <c r="F123" s="40">
        <v>2.5</v>
      </c>
      <c r="G123" s="63">
        <v>9</v>
      </c>
      <c r="H123" s="40">
        <f>9*2.5</f>
        <v>22.5</v>
      </c>
      <c r="I123" s="7">
        <v>40871</v>
      </c>
    </row>
    <row r="124" spans="1:9" s="1" customFormat="1" ht="21" customHeight="1">
      <c r="A124" s="41">
        <v>121</v>
      </c>
      <c r="B124" s="47" t="s">
        <v>118</v>
      </c>
      <c r="C124" s="47" t="s">
        <v>187</v>
      </c>
      <c r="D124" s="38" t="s">
        <v>70</v>
      </c>
      <c r="E124" s="39" t="s">
        <v>6</v>
      </c>
      <c r="F124" s="40">
        <v>4.03</v>
      </c>
      <c r="G124" s="63">
        <v>2</v>
      </c>
      <c r="H124" s="40">
        <f>2*4.03</f>
        <v>8.06</v>
      </c>
      <c r="I124" s="7">
        <v>40872</v>
      </c>
    </row>
    <row r="125" spans="1:9" s="1" customFormat="1" ht="21" customHeight="1">
      <c r="A125" s="41">
        <v>122</v>
      </c>
      <c r="B125" s="47" t="s">
        <v>106</v>
      </c>
      <c r="C125" s="47" t="s">
        <v>169</v>
      </c>
      <c r="D125" s="38" t="s">
        <v>18</v>
      </c>
      <c r="E125" s="39" t="s">
        <v>11</v>
      </c>
      <c r="F125" s="40">
        <v>2.5</v>
      </c>
      <c r="G125" s="63">
        <v>6</v>
      </c>
      <c r="H125" s="40">
        <f>6*2.5</f>
        <v>15</v>
      </c>
      <c r="I125" s="7">
        <v>40878</v>
      </c>
    </row>
    <row r="126" spans="1:9" s="1" customFormat="1" ht="21" customHeight="1">
      <c r="A126" s="41">
        <v>123</v>
      </c>
      <c r="B126" s="47" t="s">
        <v>119</v>
      </c>
      <c r="C126" s="47" t="s">
        <v>188</v>
      </c>
      <c r="D126" s="38" t="s">
        <v>62</v>
      </c>
      <c r="E126" s="39" t="s">
        <v>6</v>
      </c>
      <c r="F126" s="40">
        <v>2.34</v>
      </c>
      <c r="G126" s="63">
        <v>2.34</v>
      </c>
      <c r="H126" s="40">
        <f>2*2.34</f>
        <v>4.68</v>
      </c>
      <c r="I126" s="7">
        <v>40879</v>
      </c>
    </row>
    <row r="127" spans="1:9" s="1" customFormat="1" ht="21" customHeight="1">
      <c r="A127" s="41">
        <v>124</v>
      </c>
      <c r="B127" s="47" t="s">
        <v>37</v>
      </c>
      <c r="C127" s="47" t="s">
        <v>174</v>
      </c>
      <c r="D127" s="38" t="s">
        <v>31</v>
      </c>
      <c r="E127" s="39" t="s">
        <v>11</v>
      </c>
      <c r="F127" s="40" t="s">
        <v>205</v>
      </c>
      <c r="G127" s="63">
        <v>9</v>
      </c>
      <c r="H127" s="40">
        <f>0.9+8*2</f>
        <v>16.9</v>
      </c>
      <c r="I127" s="7">
        <v>40886</v>
      </c>
    </row>
    <row r="128" spans="1:9" s="1" customFormat="1" ht="21" customHeight="1">
      <c r="A128" s="41">
        <v>125</v>
      </c>
      <c r="B128" s="47" t="s">
        <v>120</v>
      </c>
      <c r="C128" s="47" t="s">
        <v>189</v>
      </c>
      <c r="D128" s="38" t="s">
        <v>123</v>
      </c>
      <c r="E128" s="39" t="s">
        <v>24</v>
      </c>
      <c r="F128" s="40">
        <v>600</v>
      </c>
      <c r="G128" s="63">
        <v>1</v>
      </c>
      <c r="H128" s="40">
        <v>600</v>
      </c>
      <c r="I128" s="7">
        <v>40892</v>
      </c>
    </row>
    <row r="129" spans="1:9" s="1" customFormat="1" ht="21" customHeight="1">
      <c r="A129" s="41">
        <v>126</v>
      </c>
      <c r="B129" s="47" t="s">
        <v>106</v>
      </c>
      <c r="C129" s="47" t="s">
        <v>169</v>
      </c>
      <c r="D129" s="38" t="s">
        <v>18</v>
      </c>
      <c r="E129" s="39" t="s">
        <v>11</v>
      </c>
      <c r="F129" s="40">
        <v>2.5</v>
      </c>
      <c r="G129" s="63">
        <v>2</v>
      </c>
      <c r="H129" s="40">
        <f>2*2.5</f>
        <v>5</v>
      </c>
      <c r="I129" s="7">
        <v>40894</v>
      </c>
    </row>
    <row r="130" spans="1:9" s="1" customFormat="1" ht="21" customHeight="1">
      <c r="A130" s="41">
        <v>127</v>
      </c>
      <c r="B130" s="47" t="s">
        <v>29</v>
      </c>
      <c r="C130" s="47" t="s">
        <v>30</v>
      </c>
      <c r="D130" s="38" t="s">
        <v>32</v>
      </c>
      <c r="E130" s="39" t="s">
        <v>6</v>
      </c>
      <c r="F130" s="40">
        <v>44.71</v>
      </c>
      <c r="G130" s="63">
        <v>1</v>
      </c>
      <c r="H130" s="40">
        <v>44.71</v>
      </c>
      <c r="I130" s="7">
        <v>40899</v>
      </c>
    </row>
    <row r="131" spans="1:9" s="1" customFormat="1" ht="21" customHeight="1">
      <c r="A131" s="41">
        <v>128</v>
      </c>
      <c r="B131" s="47" t="s">
        <v>82</v>
      </c>
      <c r="C131" s="47" t="s">
        <v>190</v>
      </c>
      <c r="D131" s="38" t="s">
        <v>51</v>
      </c>
      <c r="E131" s="39" t="s">
        <v>9</v>
      </c>
      <c r="F131" s="40">
        <v>8.73</v>
      </c>
      <c r="G131" s="63" t="s">
        <v>47</v>
      </c>
      <c r="H131" s="40">
        <v>8.73</v>
      </c>
      <c r="I131" s="7">
        <v>40906</v>
      </c>
    </row>
    <row r="132" spans="1:9" s="1" customFormat="1" ht="21" customHeight="1">
      <c r="A132" s="41">
        <v>129</v>
      </c>
      <c r="B132" s="47" t="s">
        <v>59</v>
      </c>
      <c r="C132" s="47" t="s">
        <v>191</v>
      </c>
      <c r="D132" s="38" t="s">
        <v>61</v>
      </c>
      <c r="E132" s="39" t="s">
        <v>64</v>
      </c>
      <c r="F132" s="40">
        <v>25</v>
      </c>
      <c r="G132" s="63" t="s">
        <v>10</v>
      </c>
      <c r="H132" s="40">
        <v>25</v>
      </c>
      <c r="I132" s="7">
        <v>40907</v>
      </c>
    </row>
    <row r="133" spans="1:9" s="1" customFormat="1" ht="21" customHeight="1">
      <c r="A133" s="41">
        <v>130</v>
      </c>
      <c r="B133" s="47" t="s">
        <v>121</v>
      </c>
      <c r="C133" s="47" t="s">
        <v>192</v>
      </c>
      <c r="D133" s="38" t="s">
        <v>51</v>
      </c>
      <c r="E133" s="39" t="s">
        <v>9</v>
      </c>
      <c r="F133" s="40">
        <v>9.73</v>
      </c>
      <c r="G133" s="63" t="s">
        <v>206</v>
      </c>
      <c r="H133" s="40">
        <f>6*9.73</f>
        <v>58.38</v>
      </c>
      <c r="I133" s="7">
        <v>40907</v>
      </c>
    </row>
    <row r="134" spans="1:9" s="8" customFormat="1" ht="63.75">
      <c r="A134" s="4"/>
      <c r="B134" s="46"/>
      <c r="C134" s="37"/>
      <c r="D134" s="37"/>
      <c r="E134" s="41"/>
      <c r="F134" s="44"/>
      <c r="G134" s="75" t="s">
        <v>254</v>
      </c>
      <c r="H134" s="51">
        <f>SUM(H4:H133)</f>
        <v>3418.7272</v>
      </c>
      <c r="I134" s="7"/>
    </row>
    <row r="135" ht="34.5" customHeight="1"/>
    <row r="136" spans="1:8" s="19" customFormat="1" ht="34.5" customHeight="1">
      <c r="A136" s="13"/>
      <c r="B136" s="14"/>
      <c r="C136" s="15"/>
      <c r="D136" s="16" t="s">
        <v>252</v>
      </c>
      <c r="E136" s="17" t="s">
        <v>21</v>
      </c>
      <c r="F136" s="17" t="s">
        <v>22</v>
      </c>
      <c r="G136" s="18"/>
      <c r="H136" s="15"/>
    </row>
    <row r="137" spans="1:8" s="26" customFormat="1" ht="12.75">
      <c r="A137" s="20"/>
      <c r="B137" s="45"/>
      <c r="C137" s="14"/>
      <c r="D137" s="21" t="s">
        <v>14</v>
      </c>
      <c r="E137" s="24">
        <f>SUMIF(E4:E134,"=ÇÖP GAZI",H4:H134)</f>
        <v>18.531999999999996</v>
      </c>
      <c r="F137" s="25">
        <f>COUNTIF(E4:E134,"ÇÖP GAZI")</f>
        <v>8</v>
      </c>
      <c r="G137" s="22"/>
      <c r="H137" s="14"/>
    </row>
    <row r="138" spans="4:8" ht="12.75">
      <c r="D138" s="27" t="s">
        <v>23</v>
      </c>
      <c r="E138" s="28">
        <f>SUMIF(E4:E134,"=DG",H4:H134)</f>
        <v>998.971</v>
      </c>
      <c r="F138" s="25">
        <f>COUNTIF(E4:E134,"DG")</f>
        <v>25</v>
      </c>
      <c r="G138" s="29"/>
      <c r="H138" s="23"/>
    </row>
    <row r="139" spans="4:8" ht="12.75">
      <c r="D139" s="27" t="s">
        <v>20</v>
      </c>
      <c r="E139" s="28">
        <f>SUMIF(E4:E134,"=FO",H4:H134)</f>
        <v>32.099999999999994</v>
      </c>
      <c r="F139" s="25">
        <f>COUNTIF(E4:E134,"FO")</f>
        <v>1</v>
      </c>
      <c r="G139" s="29"/>
      <c r="H139" s="23"/>
    </row>
    <row r="140" spans="4:8" ht="12.75">
      <c r="D140" s="10" t="s">
        <v>33</v>
      </c>
      <c r="E140" s="28">
        <f>SUMIF(E4:E134,"=HES",H4:H134)</f>
        <v>1305.6244</v>
      </c>
      <c r="F140" s="25">
        <f>COUNTIF(E4:E134,"HES")</f>
        <v>64</v>
      </c>
      <c r="G140" s="29"/>
      <c r="H140" s="23"/>
    </row>
    <row r="141" spans="4:8" ht="12.75">
      <c r="D141" s="27" t="s">
        <v>24</v>
      </c>
      <c r="E141" s="28">
        <f>SUMIF(E4:E134,"=İTHAL KÖMÜR",H4:H134)</f>
        <v>600</v>
      </c>
      <c r="F141" s="25">
        <f>COUNTIF(E4:E134,"İTHAL KÖMÜR")</f>
        <v>1</v>
      </c>
      <c r="G141" s="29"/>
      <c r="H141" s="23"/>
    </row>
    <row r="142" spans="4:8" ht="12.75">
      <c r="D142" s="27" t="s">
        <v>64</v>
      </c>
      <c r="E142" s="28">
        <f>SUMIF(E4:E134,"=İTHAL KÖMÜR/DG",H4:H134)</f>
        <v>25</v>
      </c>
      <c r="F142" s="25">
        <f>COUNTIF(E4:E134,"İTHAL KÖMÜR/DG")</f>
        <v>1</v>
      </c>
      <c r="G142" s="29"/>
      <c r="H142" s="23"/>
    </row>
    <row r="143" spans="4:8" ht="12.75">
      <c r="D143" s="27" t="s">
        <v>19</v>
      </c>
      <c r="E143" s="28">
        <f>SUMIF(E4:E134,"=JEOTERMAL",H4:H134)</f>
        <v>20</v>
      </c>
      <c r="F143" s="25">
        <f>COUNTIF(E4:E134,"JEOTERMAL")</f>
        <v>1</v>
      </c>
      <c r="G143" s="29"/>
      <c r="H143" s="23"/>
    </row>
    <row r="144" spans="4:8" ht="12.75">
      <c r="D144" s="27" t="s">
        <v>7</v>
      </c>
      <c r="E144" s="28">
        <f>SUMIF(E4:E134,"=LNG",H4:H134)</f>
        <v>9.95</v>
      </c>
      <c r="F144" s="25">
        <f>COUNTIF(E4:E134,"LNG")</f>
        <v>2</v>
      </c>
      <c r="G144" s="29"/>
      <c r="H144" s="23"/>
    </row>
    <row r="145" spans="4:8" ht="12.75">
      <c r="D145" s="27" t="s">
        <v>11</v>
      </c>
      <c r="E145" s="28">
        <f>SUMIF(E4:E134,"=RES",H4:H134)</f>
        <v>408.54979999999995</v>
      </c>
      <c r="F145" s="25">
        <f>COUNTIF(E4:E134,"RES")</f>
        <v>27</v>
      </c>
      <c r="G145" s="29"/>
      <c r="H145" s="23"/>
    </row>
    <row r="146" spans="4:8" ht="14.25">
      <c r="D146" s="30" t="s">
        <v>25</v>
      </c>
      <c r="E146" s="31">
        <f>SUM(E137:E145)</f>
        <v>3418.7271999999994</v>
      </c>
      <c r="F146" s="32">
        <f>SUM(F137:F145)</f>
        <v>130</v>
      </c>
      <c r="G146" s="29"/>
      <c r="H146" s="23"/>
    </row>
    <row r="147" spans="5:7" ht="12.75">
      <c r="E147" s="33"/>
      <c r="G147" s="34"/>
    </row>
    <row r="148" spans="4:7" ht="25.5">
      <c r="D148" s="16" t="s">
        <v>252</v>
      </c>
      <c r="E148" s="17" t="s">
        <v>21</v>
      </c>
      <c r="G148" s="34"/>
    </row>
    <row r="149" spans="4:7" ht="12.75">
      <c r="D149" s="71" t="s">
        <v>250</v>
      </c>
      <c r="E149" s="72">
        <f>SUM(E138:E139,E141:E142,E144)</f>
        <v>1666.021</v>
      </c>
      <c r="G149" s="34"/>
    </row>
    <row r="150" spans="4:7" ht="12.75">
      <c r="D150" s="71" t="s">
        <v>6</v>
      </c>
      <c r="E150" s="72">
        <f>E140</f>
        <v>1305.6244</v>
      </c>
      <c r="G150" s="34"/>
    </row>
    <row r="151" spans="4:7" ht="12.75">
      <c r="D151" s="71" t="s">
        <v>11</v>
      </c>
      <c r="E151" s="72">
        <f>E145</f>
        <v>408.54979999999995</v>
      </c>
      <c r="G151" s="34"/>
    </row>
    <row r="152" spans="4:7" ht="12.75">
      <c r="D152" s="71" t="s">
        <v>19</v>
      </c>
      <c r="E152" s="72">
        <f>E143</f>
        <v>20</v>
      </c>
      <c r="G152" s="34"/>
    </row>
    <row r="153" spans="4:7" ht="12.75">
      <c r="D153" s="71" t="s">
        <v>251</v>
      </c>
      <c r="E153" s="72">
        <f>E137</f>
        <v>18.531999999999996</v>
      </c>
      <c r="G153" s="34"/>
    </row>
    <row r="154" spans="4:7" ht="15">
      <c r="D154" s="73" t="s">
        <v>71</v>
      </c>
      <c r="E154" s="74">
        <f>SUM(E149:E153)</f>
        <v>3418.7272</v>
      </c>
      <c r="G154" s="34"/>
    </row>
    <row r="155" spans="5:7" ht="12.75">
      <c r="E155" s="33"/>
      <c r="G155" s="34"/>
    </row>
    <row r="156" spans="5:7" ht="12.75">
      <c r="E156" s="33"/>
      <c r="G156" s="34"/>
    </row>
    <row r="157" spans="5:7" ht="12.75">
      <c r="E157" s="33"/>
      <c r="G157" s="34"/>
    </row>
    <row r="158" spans="5:7" ht="12.75">
      <c r="E158" s="33"/>
      <c r="G158" s="34"/>
    </row>
    <row r="159" spans="5:7" ht="12.75">
      <c r="E159" s="33"/>
      <c r="G159" s="34"/>
    </row>
    <row r="160" spans="5:7" ht="12.75">
      <c r="E160" s="33"/>
      <c r="G160" s="34"/>
    </row>
    <row r="161" spans="5:7" ht="12.75">
      <c r="E161" s="33"/>
      <c r="G161" s="34"/>
    </row>
    <row r="162" spans="5:7" ht="12.75">
      <c r="E162" s="33"/>
      <c r="G162" s="34"/>
    </row>
    <row r="163" spans="5:7" ht="12.75">
      <c r="E163" s="33"/>
      <c r="G163" s="34"/>
    </row>
    <row r="164" spans="5:7" ht="12.75">
      <c r="E164" s="33"/>
      <c r="G164" s="34"/>
    </row>
    <row r="165" spans="5:7" ht="12.75">
      <c r="E165" s="33"/>
      <c r="G165" s="34"/>
    </row>
    <row r="166" spans="1:8" s="12" customFormat="1" ht="36" customHeight="1">
      <c r="A166" s="35"/>
      <c r="B166" s="50"/>
      <c r="C166" s="50"/>
      <c r="D166" s="76"/>
      <c r="E166" s="76"/>
      <c r="F166" s="76"/>
      <c r="G166" s="76"/>
      <c r="H166" s="36"/>
    </row>
  </sheetData>
  <sheetProtection/>
  <autoFilter ref="A3:I134"/>
  <mergeCells count="2">
    <mergeCell ref="D166:G166"/>
    <mergeCell ref="A2:I2"/>
  </mergeCells>
  <printOptions horizontalCentered="1" verticalCentered="1"/>
  <pageMargins left="0.8267716535433072" right="0.4724409448818898" top="0.31496062992125984" bottom="0.2755905511811024" header="0.15748031496062992" footer="0.15748031496062992"/>
  <pageSetup horizontalDpi="300" verticalDpi="300" orientation="landscape" paperSize="9" scale="86" r:id="rId4"/>
  <rowBreaks count="1" manualBreakCount="1">
    <brk id="15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Enerji Yatırımları</dc:creator>
  <cp:keywords/>
  <dc:description/>
  <cp:lastModifiedBy>edincer</cp:lastModifiedBy>
  <cp:lastPrinted>2013-01-30T07:37:23Z</cp:lastPrinted>
  <dcterms:created xsi:type="dcterms:W3CDTF">2011-12-09T09:41:59Z</dcterms:created>
  <dcterms:modified xsi:type="dcterms:W3CDTF">2013-01-30T12:47:16Z</dcterms:modified>
  <cp:category/>
  <cp:version/>
  <cp:contentType/>
  <cp:contentStatus/>
</cp:coreProperties>
</file>