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metin\Desktop\EKA Usul Esaslar\"/>
    </mc:Choice>
  </mc:AlternateContent>
  <xr:revisionPtr revIDLastSave="0" documentId="8_{C7E7E1E0-B1F8-45FA-A852-A3FBD4528A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nayi Örn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7" i="1" l="1"/>
  <c r="F205" i="1"/>
  <c r="F201" i="1"/>
  <c r="D184" i="1"/>
  <c r="F186" i="1" s="1"/>
  <c r="Q183" i="1"/>
  <c r="P183" i="1"/>
  <c r="O183" i="1"/>
  <c r="N183" i="1"/>
  <c r="K183" i="1"/>
  <c r="J183" i="1"/>
  <c r="I183" i="1"/>
  <c r="Q182" i="1"/>
  <c r="P182" i="1"/>
  <c r="O182" i="1"/>
  <c r="N182" i="1"/>
  <c r="K182" i="1"/>
  <c r="J182" i="1"/>
  <c r="I182" i="1"/>
  <c r="Q181" i="1"/>
  <c r="P181" i="1"/>
  <c r="O181" i="1"/>
  <c r="N181" i="1"/>
  <c r="K181" i="1"/>
  <c r="J181" i="1"/>
  <c r="I181" i="1"/>
  <c r="Q180" i="1"/>
  <c r="P180" i="1"/>
  <c r="O180" i="1"/>
  <c r="N180" i="1"/>
  <c r="K180" i="1"/>
  <c r="J180" i="1"/>
  <c r="I180" i="1"/>
  <c r="Q179" i="1"/>
  <c r="P179" i="1"/>
  <c r="O179" i="1"/>
  <c r="N179" i="1"/>
  <c r="K179" i="1"/>
  <c r="J179" i="1"/>
  <c r="I179" i="1"/>
  <c r="Q178" i="1"/>
  <c r="P178" i="1"/>
  <c r="O178" i="1"/>
  <c r="N178" i="1"/>
  <c r="K178" i="1"/>
  <c r="J178" i="1"/>
  <c r="I178" i="1"/>
  <c r="Q177" i="1"/>
  <c r="P177" i="1"/>
  <c r="O177" i="1"/>
  <c r="N177" i="1"/>
  <c r="K177" i="1"/>
  <c r="J177" i="1"/>
  <c r="I177" i="1"/>
  <c r="Q176" i="1"/>
  <c r="P176" i="1"/>
  <c r="O176" i="1"/>
  <c r="N176" i="1"/>
  <c r="K176" i="1"/>
  <c r="J176" i="1"/>
  <c r="I176" i="1"/>
  <c r="Q175" i="1"/>
  <c r="P175" i="1"/>
  <c r="O175" i="1"/>
  <c r="N175" i="1"/>
  <c r="K175" i="1"/>
  <c r="J175" i="1"/>
  <c r="I175" i="1"/>
  <c r="Q174" i="1"/>
  <c r="P174" i="1"/>
  <c r="O174" i="1"/>
  <c r="N174" i="1"/>
  <c r="K174" i="1"/>
  <c r="J174" i="1"/>
  <c r="I174" i="1"/>
  <c r="Q173" i="1"/>
  <c r="P173" i="1"/>
  <c r="O173" i="1"/>
  <c r="N173" i="1"/>
  <c r="K173" i="1"/>
  <c r="J173" i="1"/>
  <c r="L173" i="1" s="1"/>
  <c r="I173" i="1"/>
  <c r="Q172" i="1"/>
  <c r="P172" i="1"/>
  <c r="O172" i="1"/>
  <c r="N172" i="1"/>
  <c r="K172" i="1"/>
  <c r="J172" i="1"/>
  <c r="I172" i="1"/>
  <c r="L160" i="1"/>
  <c r="K160" i="1"/>
  <c r="J160" i="1"/>
  <c r="H160" i="1"/>
  <c r="G160" i="1"/>
  <c r="F160" i="1"/>
  <c r="E160" i="1"/>
  <c r="L159" i="1"/>
  <c r="K159" i="1"/>
  <c r="J159" i="1"/>
  <c r="H159" i="1"/>
  <c r="G159" i="1"/>
  <c r="F159" i="1"/>
  <c r="E159" i="1"/>
  <c r="L158" i="1"/>
  <c r="K158" i="1"/>
  <c r="J158" i="1"/>
  <c r="H158" i="1"/>
  <c r="G158" i="1"/>
  <c r="F158" i="1"/>
  <c r="E158" i="1"/>
  <c r="L157" i="1"/>
  <c r="K157" i="1"/>
  <c r="J157" i="1"/>
  <c r="H157" i="1"/>
  <c r="G157" i="1"/>
  <c r="F157" i="1"/>
  <c r="E157" i="1"/>
  <c r="L156" i="1"/>
  <c r="K156" i="1"/>
  <c r="J156" i="1"/>
  <c r="H156" i="1"/>
  <c r="G156" i="1"/>
  <c r="F156" i="1"/>
  <c r="E156" i="1"/>
  <c r="L155" i="1"/>
  <c r="K155" i="1"/>
  <c r="J155" i="1"/>
  <c r="H155" i="1"/>
  <c r="G155" i="1"/>
  <c r="F155" i="1"/>
  <c r="E155" i="1"/>
  <c r="L154" i="1"/>
  <c r="K154" i="1"/>
  <c r="J154" i="1"/>
  <c r="H154" i="1"/>
  <c r="G154" i="1"/>
  <c r="F154" i="1"/>
  <c r="E154" i="1"/>
  <c r="L153" i="1"/>
  <c r="K153" i="1"/>
  <c r="J153" i="1"/>
  <c r="H153" i="1"/>
  <c r="G153" i="1"/>
  <c r="F153" i="1"/>
  <c r="E153" i="1"/>
  <c r="L152" i="1"/>
  <c r="K152" i="1"/>
  <c r="J152" i="1"/>
  <c r="H152" i="1"/>
  <c r="G152" i="1"/>
  <c r="F152" i="1"/>
  <c r="E152" i="1"/>
  <c r="L151" i="1"/>
  <c r="K151" i="1"/>
  <c r="J151" i="1"/>
  <c r="H151" i="1"/>
  <c r="G151" i="1"/>
  <c r="F151" i="1"/>
  <c r="E151" i="1"/>
  <c r="L150" i="1"/>
  <c r="K150" i="1"/>
  <c r="J150" i="1"/>
  <c r="H150" i="1"/>
  <c r="G150" i="1"/>
  <c r="F150" i="1"/>
  <c r="E150" i="1"/>
  <c r="L149" i="1"/>
  <c r="K149" i="1"/>
  <c r="J149" i="1"/>
  <c r="H149" i="1"/>
  <c r="G149" i="1"/>
  <c r="F149" i="1"/>
  <c r="E149" i="1"/>
  <c r="L148" i="1"/>
  <c r="K148" i="1"/>
  <c r="J148" i="1"/>
  <c r="H148" i="1"/>
  <c r="G148" i="1"/>
  <c r="F148" i="1"/>
  <c r="E148" i="1"/>
  <c r="D148" i="1"/>
  <c r="L147" i="1"/>
  <c r="K147" i="1"/>
  <c r="J147" i="1"/>
  <c r="H147" i="1"/>
  <c r="G147" i="1"/>
  <c r="F147" i="1"/>
  <c r="E147" i="1"/>
  <c r="D147" i="1"/>
  <c r="L146" i="1"/>
  <c r="K146" i="1"/>
  <c r="J146" i="1"/>
  <c r="H146" i="1"/>
  <c r="G146" i="1"/>
  <c r="F146" i="1"/>
  <c r="E146" i="1"/>
  <c r="D146" i="1"/>
  <c r="L145" i="1"/>
  <c r="K145" i="1"/>
  <c r="J145" i="1"/>
  <c r="H145" i="1"/>
  <c r="G145" i="1"/>
  <c r="F145" i="1"/>
  <c r="E145" i="1"/>
  <c r="D145" i="1"/>
  <c r="L144" i="1"/>
  <c r="K144" i="1"/>
  <c r="J144" i="1"/>
  <c r="H144" i="1"/>
  <c r="G144" i="1"/>
  <c r="F144" i="1"/>
  <c r="E144" i="1"/>
  <c r="D144" i="1"/>
  <c r="L143" i="1"/>
  <c r="K143" i="1"/>
  <c r="J143" i="1"/>
  <c r="H143" i="1"/>
  <c r="G143" i="1"/>
  <c r="F143" i="1"/>
  <c r="E143" i="1"/>
  <c r="D143" i="1"/>
  <c r="L142" i="1"/>
  <c r="K142" i="1"/>
  <c r="J142" i="1"/>
  <c r="H142" i="1"/>
  <c r="G142" i="1"/>
  <c r="F142" i="1"/>
  <c r="E142" i="1"/>
  <c r="D142" i="1"/>
  <c r="L141" i="1"/>
  <c r="K141" i="1"/>
  <c r="J141" i="1"/>
  <c r="H141" i="1"/>
  <c r="G141" i="1"/>
  <c r="F141" i="1"/>
  <c r="E141" i="1"/>
  <c r="D141" i="1"/>
  <c r="L140" i="1"/>
  <c r="K140" i="1"/>
  <c r="J140" i="1"/>
  <c r="H140" i="1"/>
  <c r="G140" i="1"/>
  <c r="F140" i="1"/>
  <c r="E140" i="1"/>
  <c r="D140" i="1"/>
  <c r="L139" i="1"/>
  <c r="K139" i="1"/>
  <c r="J139" i="1"/>
  <c r="H139" i="1"/>
  <c r="G139" i="1"/>
  <c r="F139" i="1"/>
  <c r="E139" i="1"/>
  <c r="D139" i="1"/>
  <c r="L138" i="1"/>
  <c r="K138" i="1"/>
  <c r="J138" i="1"/>
  <c r="H138" i="1"/>
  <c r="G138" i="1"/>
  <c r="F138" i="1"/>
  <c r="E138" i="1"/>
  <c r="D138" i="1"/>
  <c r="L137" i="1"/>
  <c r="K137" i="1"/>
  <c r="J137" i="1"/>
  <c r="H137" i="1"/>
  <c r="G137" i="1"/>
  <c r="F137" i="1"/>
  <c r="E137" i="1"/>
  <c r="D137" i="1"/>
  <c r="L136" i="1"/>
  <c r="K136" i="1"/>
  <c r="J136" i="1"/>
  <c r="H136" i="1"/>
  <c r="G136" i="1"/>
  <c r="F136" i="1"/>
  <c r="E136" i="1"/>
  <c r="D136" i="1"/>
  <c r="L135" i="1"/>
  <c r="K135" i="1"/>
  <c r="J135" i="1"/>
  <c r="H135" i="1"/>
  <c r="G135" i="1"/>
  <c r="F135" i="1"/>
  <c r="E135" i="1"/>
  <c r="D135" i="1"/>
  <c r="L134" i="1"/>
  <c r="K134" i="1"/>
  <c r="J134" i="1"/>
  <c r="H134" i="1"/>
  <c r="G134" i="1"/>
  <c r="F134" i="1"/>
  <c r="E134" i="1"/>
  <c r="D134" i="1"/>
  <c r="L133" i="1"/>
  <c r="K133" i="1"/>
  <c r="J133" i="1"/>
  <c r="H133" i="1"/>
  <c r="G133" i="1"/>
  <c r="F133" i="1"/>
  <c r="E133" i="1"/>
  <c r="D133" i="1"/>
  <c r="L132" i="1"/>
  <c r="K132" i="1"/>
  <c r="J132" i="1"/>
  <c r="H132" i="1"/>
  <c r="G132" i="1"/>
  <c r="F132" i="1"/>
  <c r="E132" i="1"/>
  <c r="D132" i="1"/>
  <c r="L131" i="1"/>
  <c r="K131" i="1"/>
  <c r="J131" i="1"/>
  <c r="H131" i="1"/>
  <c r="G131" i="1"/>
  <c r="F131" i="1"/>
  <c r="E131" i="1"/>
  <c r="D131" i="1"/>
  <c r="L130" i="1"/>
  <c r="K130" i="1"/>
  <c r="J130" i="1"/>
  <c r="H130" i="1"/>
  <c r="G130" i="1"/>
  <c r="F130" i="1"/>
  <c r="E130" i="1"/>
  <c r="D130" i="1"/>
  <c r="L129" i="1"/>
  <c r="K129" i="1"/>
  <c r="J129" i="1"/>
  <c r="H129" i="1"/>
  <c r="G129" i="1"/>
  <c r="F129" i="1"/>
  <c r="E129" i="1"/>
  <c r="D129" i="1"/>
  <c r="L128" i="1"/>
  <c r="K128" i="1"/>
  <c r="J128" i="1"/>
  <c r="H128" i="1"/>
  <c r="G128" i="1"/>
  <c r="F128" i="1"/>
  <c r="E128" i="1"/>
  <c r="D128" i="1"/>
  <c r="L127" i="1"/>
  <c r="K127" i="1"/>
  <c r="J127" i="1"/>
  <c r="H127" i="1"/>
  <c r="G127" i="1"/>
  <c r="F127" i="1"/>
  <c r="E127" i="1"/>
  <c r="D127" i="1"/>
  <c r="L126" i="1"/>
  <c r="K126" i="1"/>
  <c r="J126" i="1"/>
  <c r="H126" i="1"/>
  <c r="G126" i="1"/>
  <c r="F126" i="1"/>
  <c r="E126" i="1"/>
  <c r="D126" i="1"/>
  <c r="L125" i="1"/>
  <c r="K125" i="1"/>
  <c r="J125" i="1"/>
  <c r="H125" i="1"/>
  <c r="G125" i="1"/>
  <c r="F125" i="1"/>
  <c r="E125" i="1"/>
  <c r="D125" i="1"/>
  <c r="H41" i="1"/>
  <c r="J41" i="1" s="1"/>
  <c r="G41" i="1"/>
  <c r="I41" i="1" s="1"/>
  <c r="D41" i="1"/>
  <c r="D160" i="1" s="1"/>
  <c r="H40" i="1"/>
  <c r="J40" i="1" s="1"/>
  <c r="G40" i="1"/>
  <c r="I40" i="1" s="1"/>
  <c r="D40" i="1"/>
  <c r="D159" i="1" s="1"/>
  <c r="H39" i="1"/>
  <c r="J39" i="1" s="1"/>
  <c r="G39" i="1"/>
  <c r="I39" i="1" s="1"/>
  <c r="D39" i="1"/>
  <c r="D158" i="1" s="1"/>
  <c r="H38" i="1"/>
  <c r="J38" i="1" s="1"/>
  <c r="G38" i="1"/>
  <c r="I38" i="1" s="1"/>
  <c r="D38" i="1"/>
  <c r="D157" i="1" s="1"/>
  <c r="H37" i="1"/>
  <c r="J37" i="1" s="1"/>
  <c r="G37" i="1"/>
  <c r="I37" i="1" s="1"/>
  <c r="D37" i="1"/>
  <c r="D156" i="1" s="1"/>
  <c r="H36" i="1"/>
  <c r="J36" i="1" s="1"/>
  <c r="G36" i="1"/>
  <c r="I36" i="1" s="1"/>
  <c r="D36" i="1"/>
  <c r="D155" i="1" s="1"/>
  <c r="H35" i="1"/>
  <c r="J35" i="1" s="1"/>
  <c r="G35" i="1"/>
  <c r="I35" i="1" s="1"/>
  <c r="D35" i="1"/>
  <c r="D154" i="1" s="1"/>
  <c r="H34" i="1"/>
  <c r="J34" i="1" s="1"/>
  <c r="G34" i="1"/>
  <c r="I34" i="1" s="1"/>
  <c r="D34" i="1"/>
  <c r="D153" i="1" s="1"/>
  <c r="H33" i="1"/>
  <c r="J33" i="1" s="1"/>
  <c r="G33" i="1"/>
  <c r="I33" i="1" s="1"/>
  <c r="D33" i="1"/>
  <c r="D152" i="1" s="1"/>
  <c r="H32" i="1"/>
  <c r="J32" i="1" s="1"/>
  <c r="G32" i="1"/>
  <c r="I32" i="1" s="1"/>
  <c r="D32" i="1"/>
  <c r="H31" i="1"/>
  <c r="J31" i="1" s="1"/>
  <c r="G31" i="1"/>
  <c r="I31" i="1" s="1"/>
  <c r="D31" i="1"/>
  <c r="D150" i="1" s="1"/>
  <c r="H30" i="1"/>
  <c r="J30" i="1" s="1"/>
  <c r="G30" i="1"/>
  <c r="I30" i="1" s="1"/>
  <c r="D30" i="1"/>
  <c r="D149" i="1" s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L181" i="1" l="1"/>
  <c r="I155" i="1"/>
  <c r="I127" i="1"/>
  <c r="I131" i="1"/>
  <c r="I132" i="1"/>
  <c r="I133" i="1"/>
  <c r="I139" i="1"/>
  <c r="I144" i="1"/>
  <c r="I145" i="1"/>
  <c r="I146" i="1"/>
  <c r="I147" i="1"/>
  <c r="I148" i="1"/>
  <c r="L174" i="1"/>
  <c r="M174" i="1" s="1"/>
  <c r="R177" i="1"/>
  <c r="S177" i="1" s="1"/>
  <c r="L182" i="1"/>
  <c r="M182" i="1" s="1"/>
  <c r="R176" i="1"/>
  <c r="S176" i="1" s="1"/>
  <c r="M129" i="1"/>
  <c r="M135" i="1"/>
  <c r="M136" i="1"/>
  <c r="M139" i="1"/>
  <c r="L172" i="1"/>
  <c r="M172" i="1" s="1"/>
  <c r="L180" i="1"/>
  <c r="M180" i="1" s="1"/>
  <c r="M152" i="1"/>
  <c r="L176" i="1"/>
  <c r="M176" i="1" s="1"/>
  <c r="I134" i="1"/>
  <c r="I135" i="1"/>
  <c r="I136" i="1"/>
  <c r="I137" i="1"/>
  <c r="I149" i="1"/>
  <c r="L175" i="1"/>
  <c r="M175" i="1" s="1"/>
  <c r="R178" i="1"/>
  <c r="S178" i="1" s="1"/>
  <c r="L183" i="1"/>
  <c r="M183" i="1" s="1"/>
  <c r="M140" i="1"/>
  <c r="M125" i="1"/>
  <c r="R174" i="1"/>
  <c r="S174" i="1" s="1"/>
  <c r="L179" i="1"/>
  <c r="M179" i="1" s="1"/>
  <c r="R182" i="1"/>
  <c r="S182" i="1" s="1"/>
  <c r="I143" i="1"/>
  <c r="M149" i="1"/>
  <c r="I160" i="1"/>
  <c r="R173" i="1"/>
  <c r="S173" i="1" s="1"/>
  <c r="L178" i="1"/>
  <c r="M178" i="1" s="1"/>
  <c r="R181" i="1"/>
  <c r="S181" i="1" s="1"/>
  <c r="M134" i="1"/>
  <c r="M157" i="1"/>
  <c r="R172" i="1"/>
  <c r="L177" i="1"/>
  <c r="M177" i="1" s="1"/>
  <c r="R180" i="1"/>
  <c r="S180" i="1" s="1"/>
  <c r="I125" i="1"/>
  <c r="I126" i="1"/>
  <c r="M142" i="1"/>
  <c r="M143" i="1"/>
  <c r="M144" i="1"/>
  <c r="I158" i="1"/>
  <c r="R175" i="1"/>
  <c r="S175" i="1" s="1"/>
  <c r="R183" i="1"/>
  <c r="S183" i="1" s="1"/>
  <c r="D42" i="1"/>
  <c r="F45" i="1" s="1"/>
  <c r="M153" i="1"/>
  <c r="I128" i="1"/>
  <c r="I129" i="1"/>
  <c r="M133" i="1"/>
  <c r="M146" i="1"/>
  <c r="M147" i="1"/>
  <c r="M148" i="1"/>
  <c r="M150" i="1"/>
  <c r="I156" i="1"/>
  <c r="I130" i="1"/>
  <c r="M137" i="1"/>
  <c r="M138" i="1"/>
  <c r="M126" i="1"/>
  <c r="M127" i="1"/>
  <c r="M128" i="1"/>
  <c r="M141" i="1"/>
  <c r="I154" i="1"/>
  <c r="M158" i="1"/>
  <c r="M173" i="1"/>
  <c r="M181" i="1"/>
  <c r="M154" i="1"/>
  <c r="I138" i="1"/>
  <c r="M145" i="1"/>
  <c r="I184" i="1"/>
  <c r="I150" i="1"/>
  <c r="R179" i="1"/>
  <c r="S179" i="1" s="1"/>
  <c r="J42" i="1"/>
  <c r="I159" i="1"/>
  <c r="M130" i="1"/>
  <c r="M131" i="1"/>
  <c r="M132" i="1"/>
  <c r="I140" i="1"/>
  <c r="I141" i="1"/>
  <c r="I142" i="1"/>
  <c r="I157" i="1"/>
  <c r="M160" i="1"/>
  <c r="M159" i="1"/>
  <c r="J43" i="1"/>
  <c r="T84" i="1" s="1"/>
  <c r="I153" i="1"/>
  <c r="M156" i="1"/>
  <c r="I43" i="1"/>
  <c r="J106" i="1" s="1"/>
  <c r="I152" i="1"/>
  <c r="M155" i="1"/>
  <c r="I42" i="1"/>
  <c r="D151" i="1"/>
  <c r="I151" i="1" s="1"/>
  <c r="N184" i="1"/>
  <c r="F46" i="1" l="1"/>
  <c r="L184" i="1"/>
  <c r="R184" i="1"/>
  <c r="F187" i="1" s="1"/>
  <c r="F188" i="1" s="1"/>
  <c r="S172" i="1"/>
  <c r="F189" i="1"/>
  <c r="F190" i="1" s="1"/>
  <c r="M184" i="1"/>
  <c r="S184" i="1"/>
  <c r="I161" i="1"/>
  <c r="I163" i="1" s="1"/>
  <c r="F50" i="1"/>
  <c r="F51" i="1" s="1"/>
  <c r="F47" i="1"/>
  <c r="M151" i="1"/>
  <c r="M161" i="1" s="1"/>
  <c r="M163" i="1" s="1"/>
  <c r="F204" i="1" l="1"/>
  <c r="F199" i="1"/>
  <c r="F203" i="1"/>
  <c r="F200" i="1"/>
  <c r="T172" i="1"/>
  <c r="F191" i="1" s="1"/>
  <c r="F193" i="1"/>
  <c r="F52" i="1"/>
  <c r="F195" i="1" l="1"/>
</calcChain>
</file>

<file path=xl/sharedStrings.xml><?xml version="1.0" encoding="utf-8"?>
<sst xmlns="http://schemas.openxmlformats.org/spreadsheetml/2006/main" count="356" uniqueCount="99">
  <si>
    <t>Referans Dönem</t>
  </si>
  <si>
    <t>Yıl</t>
  </si>
  <si>
    <t>Dönem</t>
  </si>
  <si>
    <t>Ürün 1</t>
  </si>
  <si>
    <t>Isıtma
Derece Gün Sayısı
(HDD)
T ≤15 °C</t>
  </si>
  <si>
    <t>Soğutma Derece Gün Sayısı
(CDD)
T &gt;22 °C</t>
  </si>
  <si>
    <t>Elektrik</t>
  </si>
  <si>
    <t>Doğalğaz</t>
  </si>
  <si>
    <t>Satın Alınan Elektrik Tüketiminden Kaynaklı  Karbon
Emisyonu Miktarı</t>
  </si>
  <si>
    <t>Yakıt Tüketiminden Kaynaklı Karbon
Emisyonu Miktarı</t>
  </si>
  <si>
    <t>ton/ay</t>
  </si>
  <si>
    <t>HDD</t>
  </si>
  <si>
    <t>CDD</t>
  </si>
  <si>
    <t>kwh/ay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</si>
  <si>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</si>
  <si>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</si>
  <si>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</si>
  <si>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</si>
  <si>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</si>
  <si>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</si>
  <si>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</si>
  <si>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</si>
  <si>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</si>
  <si>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</si>
  <si>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</si>
  <si>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</si>
  <si>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TOPLAM</t>
  </si>
  <si>
    <t>ORTALAMA</t>
  </si>
  <si>
    <t>Referans Dönem Fiili Üretim Miktarı</t>
  </si>
  <si>
    <t>ton/yıl</t>
  </si>
  <si>
    <t xml:space="preserve">Referans Dönem Elektrik ve Yakıt Kaynaklı Karbon Emisyonu Miktarı </t>
  </si>
  <si>
    <t>ton eşd.CO2/yıl</t>
  </si>
  <si>
    <t>Referans Karbon Yoğunluğu (RKY)</t>
  </si>
  <si>
    <t>ton eşd.CO2/ton</t>
  </si>
  <si>
    <t xml:space="preserve">Proje Uygulama Sonrası Öngörülen Toplam Karbon Emisyonu Miktarı </t>
  </si>
  <si>
    <t>Elektrik Emisyon / üretim-hdd-cdd</t>
  </si>
  <si>
    <t>Yakıt Emisyon / üretim-hdd-cdd</t>
  </si>
  <si>
    <t>ÖZET ÇIKIŞI</t>
  </si>
  <si>
    <t>Regresyon İstatistikleri</t>
  </si>
  <si>
    <t>Çoklu R</t>
  </si>
  <si>
    <t>R Kare</t>
  </si>
  <si>
    <t>Ayarlı R Kare</t>
  </si>
  <si>
    <t>Standart Hata</t>
  </si>
  <si>
    <t>Gözlem</t>
  </si>
  <si>
    <t>ANOVA</t>
  </si>
  <si>
    <t>df</t>
  </si>
  <si>
    <t>SS</t>
  </si>
  <si>
    <t>MS</t>
  </si>
  <si>
    <t>F</t>
  </si>
  <si>
    <t>Anlamlılık F</t>
  </si>
  <si>
    <t>Regresyon</t>
  </si>
  <si>
    <t>Fark</t>
  </si>
  <si>
    <t>Toplam</t>
  </si>
  <si>
    <t>Katsayılar</t>
  </si>
  <si>
    <t>t Stat</t>
  </si>
  <si>
    <t>P-değeri</t>
  </si>
  <si>
    <t>Düşük %95</t>
  </si>
  <si>
    <t>Yüksek %95</t>
  </si>
  <si>
    <t>Düşük 95,0%</t>
  </si>
  <si>
    <t>Yüksek 95,0%</t>
  </si>
  <si>
    <t>Kesişim</t>
  </si>
  <si>
    <t>Üretim</t>
  </si>
  <si>
    <t>Elektrik Emisyon / üretim-hdd</t>
  </si>
  <si>
    <t>Yakıt Emisyon / üretim-hdd</t>
  </si>
  <si>
    <t>CVrmse</t>
  </si>
  <si>
    <t>Elektrik Emisyon / üretim</t>
  </si>
  <si>
    <t>Denklem Doğrulama</t>
  </si>
  <si>
    <t>Referans Dönem Ayarlaması</t>
  </si>
  <si>
    <t>Sabit</t>
  </si>
  <si>
    <t>Üretim Katsayısı</t>
  </si>
  <si>
    <t>HDD Katsayısı</t>
  </si>
  <si>
    <t>TDD</t>
  </si>
  <si>
    <t>İzleme Yılı</t>
  </si>
  <si>
    <t>Gerçekleşen Satın Alınan Elektrik Tüketiminden Kaynaklı  Karbon
Emisyonu Miktarı</t>
  </si>
  <si>
    <t>Gerçekleşen Yakıt Tüketiminden Kaynaklı Karbon
Emisyonu Miktarı</t>
  </si>
  <si>
    <t>Toplam Emisyon Azaltımı</t>
  </si>
  <si>
    <t>tonCO2e/yıl</t>
  </si>
  <si>
    <t>Hedeflenen Karbon Yoğunluğu (HKY)</t>
  </si>
  <si>
    <t>Hedeflenen Azaltım Oranı (HAO)</t>
  </si>
  <si>
    <t xml:space="preserve">Projelerle Hedeflenen Toplam Karbon Emisyonu Azaltım Miktarı </t>
  </si>
  <si>
    <t xml:space="preserve">İzleme Dönemi Ait Beklenen Karbon Emisyonu Miktarı </t>
  </si>
  <si>
    <t xml:space="preserve">İzleme Dönemi Gerçekleşen Karbon Emisyonu Miktarı </t>
  </si>
  <si>
    <t>İzleme Dönemi Gerçekleşen Karbon Yoğunluğu</t>
  </si>
  <si>
    <t>İzleme Dönemi Fiili Üretim Miktarı</t>
  </si>
  <si>
    <t>İzleme Dönemi Beklenen Karbon Yoğunluğu</t>
  </si>
  <si>
    <t>Gerçekleşen Azaltım Oranı (GAO)</t>
  </si>
  <si>
    <t>Azaltım Durumu (AD)</t>
  </si>
  <si>
    <t>ton eşd.CO2/ay</t>
  </si>
  <si>
    <t>Elektrik Kaynaklı Emisyon (ton eşd.CO2) = 86,33043889 + 0,006766394 x Üretim Miktarı</t>
  </si>
  <si>
    <t>Yakıt Kaynaklı Emisyon (ton eşd.CO2) = (-159,6242075) + 0,0562455 x Üretim Miktarı + 0,436298004 x HDD</t>
  </si>
  <si>
    <t>%</t>
  </si>
  <si>
    <t>Değerlendirme Özeti</t>
  </si>
  <si>
    <t>Referans Karbon Yoğunluğu (RKY) = Üç yıllık referans döneme ait toplam karbon emisyonu miktarının, aynı dönemdeki fiili üretim miktarına bölünmesi ile hesaplanan değeri ifade eder.</t>
  </si>
  <si>
    <t>Hedeflenen Karbon Yoğunluğu (HKY) = İzleme döneminde yapılacak projeler ile sağlanacak karbon emisyonu tasarrufunun, referans dönemdeki toplam karbon emisyonu miktarından çıkarılarak aynı dönemdeki fiili üretim miktarına bölünmesi ile hesaplanan değeri ifade eder.</t>
  </si>
  <si>
    <t>Hedeflenen Azaltım Oranı (HAO) =  Referans Karbon Yoğunluğu değerinden Hedeflenen Karbon Yoğunluğu değerin çıkararılarak Referans Karbon Yoğunluğu değerine bölünmesi ile hesaplanan değeri ifade eder.</t>
  </si>
  <si>
    <t>İzleme Dönemi Beklenen Karbon Yoğunluğu = İzleme döneminde yapılan üretimin referans dönem koşullarına göre düzeltilmesi ile hesaplanan toplam karbon emisyonu miktarının, aynı dönemdeki fiili üretim miktarına bölünmesi ile hesaplanan değeri ifade eder.</t>
  </si>
  <si>
    <t>İzleme Dönemi Gerçekleşen Karbon Yoğunluğu = İzleme döneminde gerçekleşen toplam karbon emisyonu miktarının, aynı dönemdeki fiili üretim miktarına bölünmesi ile hesaplanan değeri ifade eder.</t>
  </si>
  <si>
    <t>Gerçekleşen Azaltım Oranı (GAO) = İzleme Dönemi Beklenen Karbon Yoğunluğu değerinden İzleme Dönemi Gerçekleşen Karbon Yoğunluğu değerin çıkararılarak İzleme Dönemi Beklenen Karbon Yoğunluğu değerine bölünmesi ile hesaplanan değeri ifade eder.</t>
  </si>
  <si>
    <t>Azaltım Durumu (AD) = Gerçekleşen Azaltım Oranı (GAO) değerinin Hedeflenen Azaltım Oranı (HAO) değerine bölünmesi ile hesaplanan değeri ifade eder.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</si>
</sst>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"/>
    <numFmt numFmtId="165" formatCode="0.0000"/>
    <numFmt numFmtId="166" formatCode="#,##0.0000000"/>
    <numFmt numFmtId="167" formatCode="#,##0.000000000"/>
    <numFmt numFmtId="168" formatCode="0.0000000"/>
    <numFmt numFmtId="169" formatCode="0.00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i/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" fontId="4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vertical="center" wrapText="1"/>
    </xf>
    <xf numFmtId="17" fontId="4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vertical="center" wrapText="1"/>
    </xf>
    <xf numFmtId="4" fontId="4" fillId="0" borderId="4" xfId="0" applyNumberFormat="1" applyFont="1" applyBorder="1" applyAlignment="1">
      <alignment vertical="center"/>
    </xf>
    <xf numFmtId="17" fontId="4" fillId="0" borderId="4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center"/>
    </xf>
    <xf numFmtId="10" fontId="4" fillId="0" borderId="4" xfId="1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/>
    <xf numFmtId="0" fontId="5" fillId="0" borderId="5" xfId="0" applyFont="1" applyBorder="1" applyAlignment="1">
      <alignment horizontal="centerContinuous"/>
    </xf>
    <xf numFmtId="0" fontId="0" fillId="3" borderId="0" xfId="0" applyFill="1"/>
    <xf numFmtId="0" fontId="0" fillId="0" borderId="6" xfId="0" applyBorder="1"/>
    <xf numFmtId="0" fontId="5" fillId="0" borderId="5" xfId="0" applyFont="1" applyBorder="1" applyAlignment="1">
      <alignment horizontal="center"/>
    </xf>
    <xf numFmtId="0" fontId="0" fillId="4" borderId="0" xfId="0" applyFill="1"/>
    <xf numFmtId="0" fontId="0" fillId="4" borderId="6" xfId="0" applyFill="1" applyBorder="1"/>
    <xf numFmtId="10" fontId="3" fillId="3" borderId="0" xfId="1" applyNumberFormat="1" applyFont="1" applyFill="1"/>
    <xf numFmtId="17" fontId="3" fillId="0" borderId="0" xfId="0" applyNumberFormat="1" applyFont="1"/>
    <xf numFmtId="10" fontId="3" fillId="0" borderId="0" xfId="1" applyNumberFormat="1" applyFont="1"/>
    <xf numFmtId="0" fontId="0" fillId="3" borderId="6" xfId="0" applyFill="1" applyBorder="1"/>
    <xf numFmtId="0" fontId="6" fillId="0" borderId="0" xfId="0" applyFont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/>
    <xf numFmtId="4" fontId="3" fillId="0" borderId="4" xfId="0" applyNumberFormat="1" applyFont="1" applyBorder="1"/>
    <xf numFmtId="165" fontId="4" fillId="3" borderId="4" xfId="0" applyNumberFormat="1" applyFont="1" applyFill="1" applyBorder="1"/>
    <xf numFmtId="165" fontId="3" fillId="0" borderId="0" xfId="0" applyNumberFormat="1" applyFont="1"/>
    <xf numFmtId="4" fontId="3" fillId="0" borderId="0" xfId="0" applyNumberFormat="1" applyFont="1"/>
    <xf numFmtId="4" fontId="3" fillId="0" borderId="7" xfId="0" applyNumberFormat="1" applyFont="1" applyBorder="1" applyAlignment="1">
      <alignment vertical="center" wrapText="1"/>
    </xf>
    <xf numFmtId="10" fontId="4" fillId="0" borderId="4" xfId="1" applyNumberFormat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 wrapText="1"/>
    </xf>
    <xf numFmtId="167" fontId="3" fillId="0" borderId="4" xfId="0" applyNumberFormat="1" applyFont="1" applyBorder="1" applyAlignment="1">
      <alignment horizontal="right" vertical="center" wrapText="1"/>
    </xf>
    <xf numFmtId="0" fontId="3" fillId="0" borderId="0" xfId="0" applyFont="1"/>
    <xf numFmtId="17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/>
    <xf numFmtId="4" fontId="3" fillId="2" borderId="4" xfId="0" applyNumberFormat="1" applyFont="1" applyFill="1" applyBorder="1" applyAlignment="1">
      <alignment vertical="center" wrapText="1"/>
    </xf>
    <xf numFmtId="4" fontId="4" fillId="0" borderId="4" xfId="0" applyNumberFormat="1" applyFont="1" applyBorder="1" applyAlignment="1">
      <alignment vertical="center"/>
    </xf>
    <xf numFmtId="10" fontId="4" fillId="0" borderId="4" xfId="1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6" fontId="3" fillId="0" borderId="4" xfId="0" applyNumberFormat="1" applyFont="1" applyBorder="1" applyAlignment="1">
      <alignment horizontal="right" vertical="center" wrapText="1"/>
    </xf>
    <xf numFmtId="17" fontId="4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/>
    <xf numFmtId="168" fontId="3" fillId="0" borderId="4" xfId="0" applyNumberFormat="1" applyFont="1" applyBorder="1" applyAlignment="1">
      <alignment horizontal="right" vertical="center"/>
    </xf>
    <xf numFmtId="169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164" fontId="4" fillId="0" borderId="4" xfId="0" applyNumberFormat="1" applyFont="1" applyBorder="1"/>
    <xf numFmtId="17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/>
    </xf>
    <xf numFmtId="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17" fontId="4" fillId="0" borderId="4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218"/>
  <sheetViews>
    <sheetView tabSelected="1" workbookViewId="0">
      <selection activeCell="L14" sqref="L14"/>
    </sheetView>
  </sheetViews>
  <sheetFormatPr defaultColWidth="9.140625" defaultRowHeight="15.75" x14ac:dyDescent="0.25"/>
  <cols>
    <col min="1" max="1" width="9.140625" style="1"/>
    <col min="2" max="2" width="5.42578125" style="1" customWidth="1"/>
    <col min="3" max="3" width="27.85546875" style="1" customWidth="1"/>
    <col min="4" max="4" width="21.5703125" style="1" customWidth="1"/>
    <col min="5" max="5" width="21.28515625" style="1" customWidth="1"/>
    <col min="6" max="6" width="13.7109375" style="1" customWidth="1"/>
    <col min="7" max="7" width="17.42578125" style="1" customWidth="1"/>
    <col min="8" max="8" width="14.28515625" style="1" customWidth="1"/>
    <col min="9" max="9" width="23.140625" style="1" customWidth="1"/>
    <col min="10" max="10" width="21.42578125" style="1" customWidth="1"/>
    <col min="11" max="11" width="16.42578125" style="1" customWidth="1"/>
    <col min="12" max="12" width="19.42578125" style="1" customWidth="1"/>
    <col min="13" max="13" width="17.85546875" style="1" customWidth="1"/>
    <col min="14" max="14" width="18.5703125" style="1" customWidth="1"/>
    <col min="15" max="15" width="15.140625" style="1" customWidth="1"/>
    <col min="16" max="16" width="13.7109375" style="1" bestFit="1" customWidth="1"/>
    <col min="17" max="17" width="13.7109375" style="1" customWidth="1"/>
    <col min="18" max="18" width="20.5703125" style="1" customWidth="1"/>
    <col min="19" max="19" width="15.85546875" style="1" customWidth="1"/>
    <col min="20" max="20" width="16.85546875" style="1" customWidth="1"/>
    <col min="21" max="21" width="13.140625" style="1" customWidth="1"/>
    <col min="22" max="22" width="13.140625" style="1" bestFit="1" customWidth="1"/>
    <col min="23" max="23" width="15" style="1" customWidth="1"/>
    <col min="24" max="24" width="14.28515625" style="1" bestFit="1" customWidth="1"/>
    <col min="25" max="25" width="22.5703125" style="1" customWidth="1"/>
    <col min="26" max="26" width="14.5703125" style="1" bestFit="1" customWidth="1"/>
    <col min="27" max="27" width="15.140625" style="1" bestFit="1" customWidth="1"/>
    <col min="28" max="28" width="13.7109375" style="1" bestFit="1" customWidth="1"/>
    <col min="29" max="29" width="14.28515625" style="1" customWidth="1"/>
    <col min="30" max="31" width="12.42578125" style="1" bestFit="1" customWidth="1"/>
    <col min="32" max="33" width="9.140625" style="1"/>
    <col min="34" max="34" width="88.5703125" style="1" customWidth="1"/>
    <col min="35" max="35" width="14.85546875" style="1" customWidth="1"/>
    <col min="36" max="36" width="19.85546875" style="1" customWidth="1"/>
    <col min="37" max="16384" width="9.140625" style="1"/>
  </cols>
  <sheetData>
    <row r="2" spans="2:10" ht="21" customHeight="1" x14ac:dyDescent="0.25">
      <c r="B2" s="68" t="s">
        <v>0</v>
      </c>
      <c r="C2" s="69"/>
      <c r="D2" s="69"/>
      <c r="E2" s="69"/>
      <c r="F2" s="69"/>
      <c r="G2" s="69"/>
      <c r="H2" s="69"/>
      <c r="I2" s="69"/>
      <c r="J2" s="70"/>
    </row>
    <row r="3" spans="2:10" ht="7.5" customHeight="1" x14ac:dyDescent="0.25">
      <c r="D3" s="2"/>
      <c r="E3" s="2"/>
      <c r="F3" s="2"/>
      <c r="G3" s="2"/>
      <c r="H3" s="2"/>
      <c r="I3" s="2"/>
    </row>
    <row r="4" spans="2:10" ht="71.25" customHeight="1" x14ac:dyDescent="0.25">
      <c r="B4" s="64" t="s">
        <v>1</v>
      </c>
      <c r="C4" s="64" t="s">
        <v>2</v>
      </c>
      <c r="D4" s="58" t="s">
        <v>3</v>
      </c>
      <c r="E4" s="58" t="s">
        <v>4</v>
      </c>
      <c r="F4" s="58" t="s">
        <v>5</v>
      </c>
      <c r="G4" s="59" t="s">
        <v>6</v>
      </c>
      <c r="H4" s="59" t="s">
        <v>7</v>
      </c>
      <c r="I4" s="58" t="s">
        <v>8</v>
      </c>
      <c r="J4" s="58" t="s">
        <v>9</v>
      </c>
    </row>
    <row r="5" spans="2:10" ht="15.75" customHeight="1" x14ac:dyDescent="0.25">
      <c r="B5" s="64"/>
      <c r="C5" s="64"/>
      <c r="D5" s="3" t="s">
        <v>10</v>
      </c>
      <c r="E5" s="3" t="s">
        <v>11</v>
      </c>
      <c r="F5" s="3" t="s">
        <v>12</v>
      </c>
      <c r="G5" s="4" t="s">
        <v>13</v>
      </c>
      <c r="H5" s="4" t="s">
        <v>13</v>
      </c>
      <c r="I5" s="3" t="s">
        <v>87</v>
      </c>
      <c r="J5" s="3" t="s">
        <v>87</v>
      </c>
    </row>
    <row r="6" spans="2:10" ht="13.5" customHeight="1" x14ac:dyDescent="0.25">
      <c r="B6" s="65">
        <v>2023</v>
      </c>
      <c r="C6" s="5" t="s">
        <v>14</v>
      </c>
      <c r="D6" s="6">
        <v>23035</v>
      </c>
      <c r="E6" s="7">
        <v>562</v>
      </c>
      <c r="F6" s="7">
        <v>0</v>
      </c>
      <c r="G6" s="8">
        <v>522013</v>
      </c>
      <c r="H6" s="8">
        <v>5682081.9767441861</v>
      </c>
      <c r="I6" s="9">
        <f t="shared" ref="I6:I41" si="0">+G6*0.478/1000</f>
        <v>249.52221399999999</v>
      </c>
      <c r="J6" s="9">
        <f t="shared" ref="J6:J29" si="1">+H6*0.234/1000</f>
        <v>1329.6071825581396</v>
      </c>
    </row>
    <row r="7" spans="2:10" ht="13.5" customHeight="1" x14ac:dyDescent="0.25">
      <c r="B7" s="65"/>
      <c r="C7" s="5" t="s">
        <v>15</v>
      </c>
      <c r="D7" s="6">
        <v>15458</v>
      </c>
      <c r="E7" s="7">
        <v>578</v>
      </c>
      <c r="F7" s="7">
        <v>0</v>
      </c>
      <c r="G7" s="8">
        <v>391973</v>
      </c>
      <c r="H7" s="8">
        <v>4034307.5581395347</v>
      </c>
      <c r="I7" s="9">
        <f t="shared" si="0"/>
        <v>187.36309399999999</v>
      </c>
      <c r="J7" s="9">
        <f t="shared" si="1"/>
        <v>944.02796860465116</v>
      </c>
    </row>
    <row r="8" spans="2:10" ht="13.5" customHeight="1" x14ac:dyDescent="0.25">
      <c r="B8" s="65"/>
      <c r="C8" s="5" t="s">
        <v>16</v>
      </c>
      <c r="D8" s="6">
        <v>32203</v>
      </c>
      <c r="E8" s="7">
        <v>445</v>
      </c>
      <c r="F8" s="7">
        <v>0</v>
      </c>
      <c r="G8" s="8">
        <v>680478</v>
      </c>
      <c r="H8" s="8">
        <v>7760563.9534883723</v>
      </c>
      <c r="I8" s="9">
        <f t="shared" si="0"/>
        <v>325.268484</v>
      </c>
      <c r="J8" s="9">
        <f t="shared" si="1"/>
        <v>1815.9719651162793</v>
      </c>
    </row>
    <row r="9" spans="2:10" ht="13.5" customHeight="1" x14ac:dyDescent="0.25">
      <c r="B9" s="65"/>
      <c r="C9" s="5" t="s">
        <v>17</v>
      </c>
      <c r="D9" s="6">
        <v>39744</v>
      </c>
      <c r="E9" s="7">
        <v>112</v>
      </c>
      <c r="F9" s="7">
        <v>0</v>
      </c>
      <c r="G9" s="8">
        <v>885575</v>
      </c>
      <c r="H9" s="8">
        <v>9677911.9186046515</v>
      </c>
      <c r="I9" s="9">
        <f t="shared" si="0"/>
        <v>423.30484999999999</v>
      </c>
      <c r="J9" s="9">
        <f t="shared" si="1"/>
        <v>2264.6313889534886</v>
      </c>
    </row>
    <row r="10" spans="2:10" ht="13.5" customHeight="1" x14ac:dyDescent="0.25">
      <c r="B10" s="65"/>
      <c r="C10" s="5" t="s">
        <v>18</v>
      </c>
      <c r="D10" s="6">
        <v>44037</v>
      </c>
      <c r="E10" s="7">
        <v>14</v>
      </c>
      <c r="F10" s="7">
        <v>0</v>
      </c>
      <c r="G10" s="8">
        <v>854163</v>
      </c>
      <c r="H10" s="8">
        <v>10039588.081395349</v>
      </c>
      <c r="I10" s="9">
        <f t="shared" si="0"/>
        <v>408.28991400000001</v>
      </c>
      <c r="J10" s="9">
        <f t="shared" si="1"/>
        <v>2349.2636110465119</v>
      </c>
    </row>
    <row r="11" spans="2:10" ht="13.5" customHeight="1" x14ac:dyDescent="0.25">
      <c r="B11" s="65"/>
      <c r="C11" s="5" t="s">
        <v>19</v>
      </c>
      <c r="D11" s="6">
        <v>34418</v>
      </c>
      <c r="E11" s="7">
        <v>0</v>
      </c>
      <c r="F11" s="7">
        <v>69</v>
      </c>
      <c r="G11" s="8">
        <v>701945</v>
      </c>
      <c r="H11" s="8">
        <v>7988206.3953488376</v>
      </c>
      <c r="I11" s="9">
        <f t="shared" si="0"/>
        <v>335.52970999999997</v>
      </c>
      <c r="J11" s="9">
        <f t="shared" si="1"/>
        <v>1869.2402965116282</v>
      </c>
    </row>
    <row r="12" spans="2:10" ht="13.5" customHeight="1" x14ac:dyDescent="0.25">
      <c r="B12" s="65"/>
      <c r="C12" s="5" t="s">
        <v>20</v>
      </c>
      <c r="D12" s="6">
        <v>33096</v>
      </c>
      <c r="E12" s="7">
        <v>0</v>
      </c>
      <c r="F12" s="7">
        <v>145</v>
      </c>
      <c r="G12" s="8">
        <v>685075</v>
      </c>
      <c r="H12" s="8">
        <v>7049222.0930232555</v>
      </c>
      <c r="I12" s="9">
        <f t="shared" si="0"/>
        <v>327.46584999999999</v>
      </c>
      <c r="J12" s="9">
        <f t="shared" si="1"/>
        <v>1649.5179697674421</v>
      </c>
    </row>
    <row r="13" spans="2:10" ht="13.5" customHeight="1" x14ac:dyDescent="0.25">
      <c r="B13" s="65"/>
      <c r="C13" s="5" t="s">
        <v>21</v>
      </c>
      <c r="D13" s="6">
        <v>25139</v>
      </c>
      <c r="E13" s="7">
        <v>0</v>
      </c>
      <c r="F13" s="7">
        <v>57</v>
      </c>
      <c r="G13" s="8">
        <v>553433</v>
      </c>
      <c r="H13" s="8">
        <v>5345050.2906976743</v>
      </c>
      <c r="I13" s="9">
        <f t="shared" si="0"/>
        <v>264.54097400000001</v>
      </c>
      <c r="J13" s="9">
        <f t="shared" si="1"/>
        <v>1250.7417680232556</v>
      </c>
    </row>
    <row r="14" spans="2:10" ht="13.5" customHeight="1" x14ac:dyDescent="0.25">
      <c r="B14" s="65"/>
      <c r="C14" s="5" t="s">
        <v>22</v>
      </c>
      <c r="D14" s="6">
        <v>32225</v>
      </c>
      <c r="E14" s="7">
        <v>0</v>
      </c>
      <c r="F14" s="7">
        <v>30</v>
      </c>
      <c r="G14" s="8">
        <v>716786</v>
      </c>
      <c r="H14" s="8">
        <v>6999424.7093023257</v>
      </c>
      <c r="I14" s="9">
        <f t="shared" si="0"/>
        <v>342.62370799999997</v>
      </c>
      <c r="J14" s="9">
        <f t="shared" si="1"/>
        <v>1637.8653819767444</v>
      </c>
    </row>
    <row r="15" spans="2:10" ht="13.5" customHeight="1" x14ac:dyDescent="0.25">
      <c r="B15" s="65"/>
      <c r="C15" s="5" t="s">
        <v>23</v>
      </c>
      <c r="D15" s="6">
        <v>26621</v>
      </c>
      <c r="E15" s="7">
        <v>37</v>
      </c>
      <c r="F15" s="7">
        <v>7</v>
      </c>
      <c r="G15" s="8">
        <v>559788</v>
      </c>
      <c r="H15" s="8">
        <v>5983101.4534883723</v>
      </c>
      <c r="I15" s="9">
        <f t="shared" si="0"/>
        <v>267.578664</v>
      </c>
      <c r="J15" s="9">
        <f t="shared" si="1"/>
        <v>1400.0457401162791</v>
      </c>
    </row>
    <row r="16" spans="2:10" ht="13.5" customHeight="1" x14ac:dyDescent="0.25">
      <c r="B16" s="65"/>
      <c r="C16" s="5" t="s">
        <v>24</v>
      </c>
      <c r="D16" s="6">
        <v>31758</v>
      </c>
      <c r="E16" s="7">
        <v>256</v>
      </c>
      <c r="F16" s="7">
        <v>0</v>
      </c>
      <c r="G16" s="8">
        <v>709986</v>
      </c>
      <c r="H16" s="8">
        <v>7238550</v>
      </c>
      <c r="I16" s="9">
        <f t="shared" si="0"/>
        <v>339.37330799999995</v>
      </c>
      <c r="J16" s="9">
        <f t="shared" si="1"/>
        <v>1693.8207000000002</v>
      </c>
    </row>
    <row r="17" spans="2:10" ht="13.5" customHeight="1" x14ac:dyDescent="0.25">
      <c r="B17" s="65"/>
      <c r="C17" s="5" t="s">
        <v>25</v>
      </c>
      <c r="D17" s="6">
        <v>20841</v>
      </c>
      <c r="E17" s="7">
        <v>417</v>
      </c>
      <c r="F17" s="7">
        <v>0</v>
      </c>
      <c r="G17" s="8">
        <v>495819</v>
      </c>
      <c r="H17" s="8">
        <v>4872737.7906976743</v>
      </c>
      <c r="I17" s="9">
        <f t="shared" si="0"/>
        <v>237.00148199999998</v>
      </c>
      <c r="J17" s="9">
        <f t="shared" si="1"/>
        <v>1140.2206430232557</v>
      </c>
    </row>
    <row r="18" spans="2:10" ht="13.5" customHeight="1" x14ac:dyDescent="0.25">
      <c r="B18" s="65">
        <v>2024</v>
      </c>
      <c r="C18" s="5" t="s">
        <v>14</v>
      </c>
      <c r="D18" s="6">
        <v>27859</v>
      </c>
      <c r="E18" s="7">
        <v>457</v>
      </c>
      <c r="F18" s="7">
        <v>0</v>
      </c>
      <c r="G18" s="8">
        <v>597875</v>
      </c>
      <c r="H18" s="8">
        <v>7088093.0232558139</v>
      </c>
      <c r="I18" s="9">
        <f t="shared" si="0"/>
        <v>285.78424999999999</v>
      </c>
      <c r="J18" s="9">
        <f t="shared" si="1"/>
        <v>1658.6137674418605</v>
      </c>
    </row>
    <row r="19" spans="2:10" ht="13.5" customHeight="1" x14ac:dyDescent="0.25">
      <c r="B19" s="65"/>
      <c r="C19" s="5" t="s">
        <v>15</v>
      </c>
      <c r="D19" s="6">
        <v>37367</v>
      </c>
      <c r="E19" s="7">
        <v>327</v>
      </c>
      <c r="F19" s="7">
        <v>0</v>
      </c>
      <c r="G19" s="8">
        <v>701579</v>
      </c>
      <c r="H19" s="8">
        <v>8990370.3488372099</v>
      </c>
      <c r="I19" s="9">
        <f t="shared" si="0"/>
        <v>335.35476199999999</v>
      </c>
      <c r="J19" s="9">
        <f t="shared" si="1"/>
        <v>2103.7466616279071</v>
      </c>
    </row>
    <row r="20" spans="2:10" ht="13.5" customHeight="1" x14ac:dyDescent="0.25">
      <c r="B20" s="65"/>
      <c r="C20" s="5" t="s">
        <v>16</v>
      </c>
      <c r="D20" s="6">
        <v>38904</v>
      </c>
      <c r="E20" s="7">
        <v>303</v>
      </c>
      <c r="F20" s="7">
        <v>0</v>
      </c>
      <c r="G20" s="8">
        <v>735860</v>
      </c>
      <c r="H20" s="8">
        <v>9507405.5232558139</v>
      </c>
      <c r="I20" s="9">
        <f t="shared" si="0"/>
        <v>351.74107999999995</v>
      </c>
      <c r="J20" s="9">
        <f t="shared" si="1"/>
        <v>2224.7328924418603</v>
      </c>
    </row>
    <row r="21" spans="2:10" ht="13.5" customHeight="1" x14ac:dyDescent="0.25">
      <c r="B21" s="65"/>
      <c r="C21" s="5" t="s">
        <v>17</v>
      </c>
      <c r="D21" s="6">
        <v>38237</v>
      </c>
      <c r="E21" s="7">
        <v>147</v>
      </c>
      <c r="F21" s="7">
        <v>0</v>
      </c>
      <c r="G21" s="8">
        <v>735689</v>
      </c>
      <c r="H21" s="8">
        <v>9227615.4069767445</v>
      </c>
      <c r="I21" s="9">
        <f t="shared" si="0"/>
        <v>351.65934199999998</v>
      </c>
      <c r="J21" s="9">
        <f t="shared" si="1"/>
        <v>2159.2620052325583</v>
      </c>
    </row>
    <row r="22" spans="2:10" ht="13.5" customHeight="1" x14ac:dyDescent="0.25">
      <c r="B22" s="65"/>
      <c r="C22" s="5" t="s">
        <v>18</v>
      </c>
      <c r="D22" s="6">
        <v>46394</v>
      </c>
      <c r="E22" s="7">
        <v>14</v>
      </c>
      <c r="F22" s="7">
        <v>2</v>
      </c>
      <c r="G22" s="8">
        <v>784099</v>
      </c>
      <c r="H22" s="8">
        <v>10048960.465116279</v>
      </c>
      <c r="I22" s="9">
        <f t="shared" si="0"/>
        <v>374.79932199999996</v>
      </c>
      <c r="J22" s="9">
        <f t="shared" si="1"/>
        <v>2351.4567488372095</v>
      </c>
    </row>
    <row r="23" spans="2:10" ht="13.5" customHeight="1" x14ac:dyDescent="0.25">
      <c r="B23" s="65"/>
      <c r="C23" s="5" t="s">
        <v>19</v>
      </c>
      <c r="D23" s="6">
        <v>36900</v>
      </c>
      <c r="E23" s="7">
        <v>0</v>
      </c>
      <c r="F23" s="7">
        <v>36</v>
      </c>
      <c r="G23" s="8">
        <v>673985</v>
      </c>
      <c r="H23" s="8">
        <v>7935243.3139534881</v>
      </c>
      <c r="I23" s="9">
        <f t="shared" si="0"/>
        <v>322.16482999999994</v>
      </c>
      <c r="J23" s="9">
        <f t="shared" si="1"/>
        <v>1856.8469354651163</v>
      </c>
    </row>
    <row r="24" spans="2:10" ht="13.5" customHeight="1" x14ac:dyDescent="0.25">
      <c r="B24" s="65"/>
      <c r="C24" s="5" t="s">
        <v>20</v>
      </c>
      <c r="D24" s="6">
        <v>40943</v>
      </c>
      <c r="E24" s="7">
        <v>0</v>
      </c>
      <c r="F24" s="7">
        <v>57</v>
      </c>
      <c r="G24" s="8">
        <v>726059</v>
      </c>
      <c r="H24" s="8">
        <v>8451031.3953488376</v>
      </c>
      <c r="I24" s="9">
        <f t="shared" si="0"/>
        <v>347.05620199999998</v>
      </c>
      <c r="J24" s="9">
        <f t="shared" si="1"/>
        <v>1977.541346511628</v>
      </c>
    </row>
    <row r="25" spans="2:10" ht="13.5" customHeight="1" x14ac:dyDescent="0.25">
      <c r="B25" s="65"/>
      <c r="C25" s="5" t="s">
        <v>21</v>
      </c>
      <c r="D25" s="6">
        <v>27550</v>
      </c>
      <c r="E25" s="7">
        <v>0</v>
      </c>
      <c r="F25" s="7">
        <v>68</v>
      </c>
      <c r="G25" s="8">
        <v>549606</v>
      </c>
      <c r="H25" s="8">
        <v>6138988.0813953485</v>
      </c>
      <c r="I25" s="9">
        <f t="shared" si="0"/>
        <v>262.71166800000003</v>
      </c>
      <c r="J25" s="9">
        <f t="shared" si="1"/>
        <v>1436.5232110465115</v>
      </c>
    </row>
    <row r="26" spans="2:10" ht="13.5" customHeight="1" x14ac:dyDescent="0.25">
      <c r="B26" s="65"/>
      <c r="C26" s="5" t="s">
        <v>22</v>
      </c>
      <c r="D26" s="6">
        <v>39112</v>
      </c>
      <c r="E26" s="7">
        <v>16</v>
      </c>
      <c r="F26" s="7">
        <v>2</v>
      </c>
      <c r="G26" s="8">
        <v>694872</v>
      </c>
      <c r="H26" s="8">
        <v>8668131.1046511624</v>
      </c>
      <c r="I26" s="9">
        <f t="shared" si="0"/>
        <v>332.14881600000001</v>
      </c>
      <c r="J26" s="9">
        <f t="shared" si="1"/>
        <v>2028.342678488372</v>
      </c>
    </row>
    <row r="27" spans="2:10" ht="13.5" customHeight="1" x14ac:dyDescent="0.25">
      <c r="B27" s="65"/>
      <c r="C27" s="5" t="s">
        <v>23</v>
      </c>
      <c r="D27" s="6">
        <v>27292</v>
      </c>
      <c r="E27" s="7">
        <v>188</v>
      </c>
      <c r="F27" s="7">
        <v>0</v>
      </c>
      <c r="G27" s="8">
        <v>512921</v>
      </c>
      <c r="H27" s="8">
        <v>6253835.7558139535</v>
      </c>
      <c r="I27" s="9">
        <f t="shared" si="0"/>
        <v>245.17623799999998</v>
      </c>
      <c r="J27" s="9">
        <f t="shared" si="1"/>
        <v>1463.3975668604651</v>
      </c>
    </row>
    <row r="28" spans="2:10" ht="13.5" customHeight="1" x14ac:dyDescent="0.25">
      <c r="B28" s="65"/>
      <c r="C28" s="5" t="s">
        <v>24</v>
      </c>
      <c r="D28" s="6">
        <v>34161</v>
      </c>
      <c r="E28" s="7">
        <v>287</v>
      </c>
      <c r="F28" s="7">
        <v>0</v>
      </c>
      <c r="G28" s="8">
        <v>619337</v>
      </c>
      <c r="H28" s="8">
        <v>8049841.5697674416</v>
      </c>
      <c r="I28" s="9">
        <f t="shared" si="0"/>
        <v>296.04308600000002</v>
      </c>
      <c r="J28" s="9">
        <f t="shared" si="1"/>
        <v>1883.6629273255814</v>
      </c>
    </row>
    <row r="29" spans="2:10" ht="13.5" customHeight="1" x14ac:dyDescent="0.25">
      <c r="B29" s="65"/>
      <c r="C29" s="5" t="s">
        <v>25</v>
      </c>
      <c r="D29" s="6">
        <v>18934</v>
      </c>
      <c r="E29" s="7">
        <v>588</v>
      </c>
      <c r="F29" s="7">
        <v>0</v>
      </c>
      <c r="G29" s="8">
        <v>423711</v>
      </c>
      <c r="H29" s="8">
        <v>4435957.8488372089</v>
      </c>
      <c r="I29" s="9">
        <f t="shared" si="0"/>
        <v>202.53385799999998</v>
      </c>
      <c r="J29" s="9">
        <f t="shared" si="1"/>
        <v>1038.014136627907</v>
      </c>
    </row>
    <row r="30" spans="2:10" ht="13.5" customHeight="1" x14ac:dyDescent="0.25">
      <c r="B30" s="65">
        <v>2025</v>
      </c>
      <c r="C30" s="5" t="s">
        <v>14</v>
      </c>
      <c r="D30" s="6">
        <f>+D18*0.97</f>
        <v>27023.23</v>
      </c>
      <c r="E30" s="7">
        <v>462</v>
      </c>
      <c r="F30" s="7">
        <v>0</v>
      </c>
      <c r="G30" s="8">
        <f>+G18*0.98</f>
        <v>585917.5</v>
      </c>
      <c r="H30" s="8">
        <f>+H18*0.98</f>
        <v>6946331.1627906971</v>
      </c>
      <c r="I30" s="9">
        <f t="shared" si="0"/>
        <v>280.06856499999998</v>
      </c>
      <c r="J30" s="9">
        <f>+H30*0.234/1000</f>
        <v>1625.441492093023</v>
      </c>
    </row>
    <row r="31" spans="2:10" ht="13.5" customHeight="1" x14ac:dyDescent="0.25">
      <c r="B31" s="65"/>
      <c r="C31" s="5" t="s">
        <v>15</v>
      </c>
      <c r="D31" s="6">
        <f t="shared" ref="D31:D41" si="2">+D19*0.97</f>
        <v>36245.99</v>
      </c>
      <c r="E31" s="7">
        <v>339</v>
      </c>
      <c r="F31" s="7">
        <v>0</v>
      </c>
      <c r="G31" s="8">
        <f t="shared" ref="G31:H41" si="3">+G19*0.98</f>
        <v>687547.42</v>
      </c>
      <c r="H31" s="8">
        <f t="shared" si="3"/>
        <v>8810562.9418604653</v>
      </c>
      <c r="I31" s="9">
        <f t="shared" si="0"/>
        <v>328.64766675999999</v>
      </c>
      <c r="J31" s="9">
        <f t="shared" ref="J31:J41" si="4">+H31*0.234/1000</f>
        <v>2061.671728395349</v>
      </c>
    </row>
    <row r="32" spans="2:10" ht="13.5" customHeight="1" x14ac:dyDescent="0.25">
      <c r="B32" s="65"/>
      <c r="C32" s="5" t="s">
        <v>16</v>
      </c>
      <c r="D32" s="6">
        <f t="shared" si="2"/>
        <v>37736.879999999997</v>
      </c>
      <c r="E32" s="7">
        <v>305</v>
      </c>
      <c r="F32" s="7">
        <v>0</v>
      </c>
      <c r="G32" s="8">
        <f t="shared" si="3"/>
        <v>721142.79999999993</v>
      </c>
      <c r="H32" s="8">
        <f t="shared" si="3"/>
        <v>9317257.4127906971</v>
      </c>
      <c r="I32" s="9">
        <f t="shared" si="0"/>
        <v>344.70625839999991</v>
      </c>
      <c r="J32" s="9">
        <f t="shared" si="4"/>
        <v>2180.2382345930232</v>
      </c>
    </row>
    <row r="33" spans="2:20" ht="13.5" customHeight="1" x14ac:dyDescent="0.25">
      <c r="B33" s="65"/>
      <c r="C33" s="5" t="s">
        <v>17</v>
      </c>
      <c r="D33" s="6">
        <f t="shared" si="2"/>
        <v>37089.89</v>
      </c>
      <c r="E33" s="7">
        <v>129</v>
      </c>
      <c r="F33" s="7">
        <v>0</v>
      </c>
      <c r="G33" s="8">
        <f t="shared" si="3"/>
        <v>720975.22</v>
      </c>
      <c r="H33" s="8">
        <f t="shared" si="3"/>
        <v>9043063.0988372099</v>
      </c>
      <c r="I33" s="9">
        <f t="shared" si="0"/>
        <v>344.62615515999994</v>
      </c>
      <c r="J33" s="9">
        <f t="shared" si="4"/>
        <v>2116.076765127907</v>
      </c>
    </row>
    <row r="34" spans="2:20" ht="13.5" customHeight="1" x14ac:dyDescent="0.25">
      <c r="B34" s="65"/>
      <c r="C34" s="5" t="s">
        <v>18</v>
      </c>
      <c r="D34" s="6">
        <f t="shared" si="2"/>
        <v>45002.18</v>
      </c>
      <c r="E34" s="7">
        <v>51</v>
      </c>
      <c r="F34" s="7">
        <v>0</v>
      </c>
      <c r="G34" s="8">
        <f t="shared" si="3"/>
        <v>768417.02</v>
      </c>
      <c r="H34" s="8">
        <f t="shared" si="3"/>
        <v>9847981.2558139525</v>
      </c>
      <c r="I34" s="9">
        <f t="shared" si="0"/>
        <v>367.30333555999999</v>
      </c>
      <c r="J34" s="9">
        <f t="shared" si="4"/>
        <v>2304.427613860465</v>
      </c>
    </row>
    <row r="35" spans="2:20" ht="13.5" customHeight="1" x14ac:dyDescent="0.25">
      <c r="B35" s="65"/>
      <c r="C35" s="5" t="s">
        <v>19</v>
      </c>
      <c r="D35" s="6">
        <f t="shared" si="2"/>
        <v>35793</v>
      </c>
      <c r="E35" s="7">
        <v>11</v>
      </c>
      <c r="F35" s="7">
        <v>11</v>
      </c>
      <c r="G35" s="8">
        <f t="shared" si="3"/>
        <v>660505.29999999993</v>
      </c>
      <c r="H35" s="8">
        <f t="shared" si="3"/>
        <v>7776538.4476744179</v>
      </c>
      <c r="I35" s="9">
        <f t="shared" si="0"/>
        <v>315.72153339999994</v>
      </c>
      <c r="J35" s="9">
        <f t="shared" si="4"/>
        <v>1819.709996755814</v>
      </c>
    </row>
    <row r="36" spans="2:20" ht="13.5" customHeight="1" x14ac:dyDescent="0.25">
      <c r="B36" s="65"/>
      <c r="C36" s="5" t="s">
        <v>20</v>
      </c>
      <c r="D36" s="6">
        <f t="shared" si="2"/>
        <v>39714.71</v>
      </c>
      <c r="E36" s="7">
        <v>0</v>
      </c>
      <c r="F36" s="7">
        <v>112</v>
      </c>
      <c r="G36" s="8">
        <f t="shared" si="3"/>
        <v>711537.82</v>
      </c>
      <c r="H36" s="8">
        <f t="shared" si="3"/>
        <v>8282010.7674418604</v>
      </c>
      <c r="I36" s="9">
        <f t="shared" si="0"/>
        <v>340.11507795999995</v>
      </c>
      <c r="J36" s="9">
        <f t="shared" si="4"/>
        <v>1937.9905195813953</v>
      </c>
    </row>
    <row r="37" spans="2:20" ht="13.5" customHeight="1" x14ac:dyDescent="0.25">
      <c r="B37" s="65"/>
      <c r="C37" s="5" t="s">
        <v>21</v>
      </c>
      <c r="D37" s="6">
        <f t="shared" si="2"/>
        <v>26723.5</v>
      </c>
      <c r="E37" s="7">
        <v>0</v>
      </c>
      <c r="F37" s="7">
        <v>113</v>
      </c>
      <c r="G37" s="8">
        <f t="shared" si="3"/>
        <v>538613.88</v>
      </c>
      <c r="H37" s="8">
        <f t="shared" si="3"/>
        <v>6016208.3197674416</v>
      </c>
      <c r="I37" s="9">
        <f t="shared" si="0"/>
        <v>257.45743463999997</v>
      </c>
      <c r="J37" s="9">
        <f t="shared" si="4"/>
        <v>1407.7927468255814</v>
      </c>
    </row>
    <row r="38" spans="2:20" ht="13.5" customHeight="1" x14ac:dyDescent="0.25">
      <c r="B38" s="65"/>
      <c r="C38" s="5" t="s">
        <v>22</v>
      </c>
      <c r="D38" s="6">
        <f t="shared" si="2"/>
        <v>37938.639999999999</v>
      </c>
      <c r="E38" s="7">
        <v>28</v>
      </c>
      <c r="F38" s="7">
        <v>28</v>
      </c>
      <c r="G38" s="8">
        <f t="shared" si="3"/>
        <v>680974.55999999994</v>
      </c>
      <c r="H38" s="8">
        <f t="shared" si="3"/>
        <v>8494768.4825581387</v>
      </c>
      <c r="I38" s="9">
        <f t="shared" si="0"/>
        <v>325.50583967999995</v>
      </c>
      <c r="J38" s="9">
        <f t="shared" si="4"/>
        <v>1987.7758249186045</v>
      </c>
    </row>
    <row r="39" spans="2:20" ht="13.5" customHeight="1" x14ac:dyDescent="0.25">
      <c r="B39" s="65"/>
      <c r="C39" s="5" t="s">
        <v>23</v>
      </c>
      <c r="D39" s="6">
        <f t="shared" si="2"/>
        <v>26473.239999999998</v>
      </c>
      <c r="E39" s="7">
        <v>133</v>
      </c>
      <c r="F39" s="7">
        <v>0</v>
      </c>
      <c r="G39" s="8">
        <f t="shared" si="3"/>
        <v>502662.58</v>
      </c>
      <c r="H39" s="8">
        <f t="shared" si="3"/>
        <v>6128759.0406976743</v>
      </c>
      <c r="I39" s="9">
        <f t="shared" si="0"/>
        <v>240.27271324</v>
      </c>
      <c r="J39" s="9">
        <f t="shared" si="4"/>
        <v>1434.129615523256</v>
      </c>
    </row>
    <row r="40" spans="2:20" ht="13.5" customHeight="1" x14ac:dyDescent="0.25">
      <c r="B40" s="65"/>
      <c r="C40" s="5" t="s">
        <v>24</v>
      </c>
      <c r="D40" s="6">
        <f t="shared" si="2"/>
        <v>33136.17</v>
      </c>
      <c r="E40" s="7">
        <v>312</v>
      </c>
      <c r="F40" s="7">
        <v>0</v>
      </c>
      <c r="G40" s="8">
        <f t="shared" si="3"/>
        <v>606950.26</v>
      </c>
      <c r="H40" s="8">
        <f t="shared" si="3"/>
        <v>7888844.7383720931</v>
      </c>
      <c r="I40" s="9">
        <f t="shared" si="0"/>
        <v>290.12222427999995</v>
      </c>
      <c r="J40" s="9">
        <f t="shared" si="4"/>
        <v>1845.9896687790697</v>
      </c>
    </row>
    <row r="41" spans="2:20" ht="13.5" customHeight="1" x14ac:dyDescent="0.25">
      <c r="B41" s="65"/>
      <c r="C41" s="5" t="s">
        <v>25</v>
      </c>
      <c r="D41" s="6">
        <f t="shared" si="2"/>
        <v>18365.98</v>
      </c>
      <c r="E41" s="7">
        <v>380</v>
      </c>
      <c r="F41" s="7">
        <v>0</v>
      </c>
      <c r="G41" s="8">
        <f t="shared" si="3"/>
        <v>415236.77999999997</v>
      </c>
      <c r="H41" s="8">
        <f t="shared" si="3"/>
        <v>4347238.6918604644</v>
      </c>
      <c r="I41" s="9">
        <f t="shared" si="0"/>
        <v>198.48318083999999</v>
      </c>
      <c r="J41" s="9">
        <f t="shared" si="4"/>
        <v>1017.2538538953487</v>
      </c>
    </row>
    <row r="42" spans="2:20" x14ac:dyDescent="0.25">
      <c r="C42" s="10" t="s">
        <v>26</v>
      </c>
      <c r="D42" s="11">
        <f>SUM(D6:D41)</f>
        <v>1173471.4099999997</v>
      </c>
      <c r="H42" s="10" t="s">
        <v>26</v>
      </c>
      <c r="I42" s="11">
        <f>SUM(I6:I41)</f>
        <v>11048.065690919995</v>
      </c>
      <c r="J42" s="11">
        <f>SUM(J6:J41)</f>
        <v>63265.593553953477</v>
      </c>
    </row>
    <row r="43" spans="2:20" x14ac:dyDescent="0.25">
      <c r="H43" s="10" t="s">
        <v>27</v>
      </c>
      <c r="I43" s="11">
        <f>AVERAGE(I6:I41)</f>
        <v>306.89071363666653</v>
      </c>
      <c r="J43" s="11">
        <f>AVERAGE(J6:J41)</f>
        <v>1757.3775987209299</v>
      </c>
    </row>
    <row r="44" spans="2:20" x14ac:dyDescent="0.25">
      <c r="C44" s="12"/>
      <c r="D44" s="13"/>
      <c r="E44" s="12"/>
    </row>
    <row r="45" spans="2:20" ht="26.25" customHeight="1" x14ac:dyDescent="0.25">
      <c r="C45" s="62" t="s">
        <v>28</v>
      </c>
      <c r="D45" s="62"/>
      <c r="E45" s="62"/>
      <c r="F45" s="14">
        <f>+D42</f>
        <v>1173471.4099999997</v>
      </c>
      <c r="G45" s="15" t="s">
        <v>29</v>
      </c>
    </row>
    <row r="46" spans="2:20" ht="26.25" customHeight="1" x14ac:dyDescent="0.25">
      <c r="C46" s="62" t="s">
        <v>30</v>
      </c>
      <c r="D46" s="62"/>
      <c r="E46" s="62"/>
      <c r="F46" s="14">
        <f>I42+J42</f>
        <v>74313.659244873474</v>
      </c>
      <c r="G46" s="15" t="s">
        <v>31</v>
      </c>
    </row>
    <row r="47" spans="2:20" ht="26.25" customHeight="1" x14ac:dyDescent="0.25">
      <c r="C47" s="62" t="s">
        <v>32</v>
      </c>
      <c r="D47" s="62"/>
      <c r="E47" s="62"/>
      <c r="F47" s="16">
        <f>+F46/F45</f>
        <v>6.3328052657775011E-2</v>
      </c>
      <c r="G47" s="15" t="s">
        <v>33</v>
      </c>
      <c r="L47"/>
      <c r="M47"/>
      <c r="N47"/>
      <c r="O47"/>
      <c r="P47"/>
      <c r="Q47"/>
      <c r="R47"/>
      <c r="S47"/>
      <c r="T47"/>
    </row>
    <row r="48" spans="2:20" ht="26.25" customHeight="1" x14ac:dyDescent="0.25">
      <c r="C48" s="72"/>
      <c r="D48" s="72"/>
      <c r="E48" s="72"/>
      <c r="F48" s="72"/>
      <c r="G48" s="72"/>
      <c r="L48"/>
      <c r="M48"/>
      <c r="N48"/>
      <c r="O48"/>
      <c r="P48"/>
      <c r="Q48"/>
      <c r="R48"/>
      <c r="S48"/>
      <c r="T48"/>
    </row>
    <row r="49" spans="3:21" ht="26.25" customHeight="1" x14ac:dyDescent="0.25">
      <c r="C49" s="62" t="s">
        <v>79</v>
      </c>
      <c r="D49" s="62"/>
      <c r="E49" s="62"/>
      <c r="F49" s="14">
        <v>7500</v>
      </c>
      <c r="G49" s="15" t="s">
        <v>31</v>
      </c>
    </row>
    <row r="50" spans="3:21" ht="26.25" customHeight="1" x14ac:dyDescent="0.25">
      <c r="C50" s="62" t="s">
        <v>34</v>
      </c>
      <c r="D50" s="62"/>
      <c r="E50" s="62"/>
      <c r="F50" s="14">
        <f>+F46-F49</f>
        <v>66813.659244873474</v>
      </c>
      <c r="G50" s="15" t="s">
        <v>31</v>
      </c>
    </row>
    <row r="51" spans="3:21" ht="26.25" customHeight="1" x14ac:dyDescent="0.25">
      <c r="C51" s="62" t="s">
        <v>77</v>
      </c>
      <c r="D51" s="62"/>
      <c r="E51" s="62"/>
      <c r="F51" s="16">
        <f>+F50/F45</f>
        <v>5.6936759324092513E-2</v>
      </c>
      <c r="G51" s="15" t="s">
        <v>33</v>
      </c>
    </row>
    <row r="52" spans="3:21" ht="26.25" customHeight="1" x14ac:dyDescent="0.25">
      <c r="C52" s="62" t="s">
        <v>78</v>
      </c>
      <c r="D52" s="62"/>
      <c r="E52" s="62"/>
      <c r="F52" s="17">
        <f>+(F47-F51)/F47</f>
        <v>0.10092357281568512</v>
      </c>
      <c r="G52" s="18"/>
    </row>
    <row r="53" spans="3:21" x14ac:dyDescent="0.25">
      <c r="C53" s="12"/>
      <c r="D53" s="13"/>
      <c r="E53" s="12"/>
    </row>
    <row r="54" spans="3:21" x14ac:dyDescent="0.25">
      <c r="C54" s="19" t="s">
        <v>35</v>
      </c>
      <c r="F54" s="19"/>
      <c r="M54" s="19" t="s">
        <v>36</v>
      </c>
    </row>
    <row r="55" spans="3:21" x14ac:dyDescent="0.25">
      <c r="C55" t="s">
        <v>37</v>
      </c>
      <c r="D55"/>
      <c r="E55"/>
      <c r="F55"/>
      <c r="G55"/>
      <c r="H55"/>
      <c r="I55"/>
      <c r="J55"/>
      <c r="K55"/>
      <c r="M55" t="s">
        <v>37</v>
      </c>
      <c r="N55"/>
      <c r="O55"/>
      <c r="P55"/>
      <c r="Q55"/>
      <c r="R55"/>
      <c r="S55"/>
      <c r="T55"/>
      <c r="U55"/>
    </row>
    <row r="56" spans="3:21" ht="16.5" thickBot="1" x14ac:dyDescent="0.3">
      <c r="C56"/>
      <c r="D56"/>
      <c r="E56"/>
      <c r="F56"/>
      <c r="G56"/>
      <c r="H56"/>
      <c r="I56"/>
      <c r="J56"/>
      <c r="K56"/>
      <c r="M56"/>
      <c r="N56"/>
      <c r="O56"/>
      <c r="P56"/>
      <c r="Q56"/>
      <c r="R56"/>
      <c r="S56"/>
      <c r="T56"/>
      <c r="U56"/>
    </row>
    <row r="57" spans="3:21" x14ac:dyDescent="0.25">
      <c r="C57" s="20" t="s">
        <v>38</v>
      </c>
      <c r="D57" s="20"/>
      <c r="E57"/>
      <c r="F57"/>
      <c r="G57"/>
      <c r="H57"/>
      <c r="I57"/>
      <c r="J57"/>
      <c r="K57"/>
      <c r="M57" s="20" t="s">
        <v>38</v>
      </c>
      <c r="N57" s="20"/>
      <c r="O57"/>
      <c r="P57"/>
      <c r="Q57"/>
      <c r="R57"/>
      <c r="S57"/>
      <c r="T57"/>
      <c r="U57"/>
    </row>
    <row r="58" spans="3:21" x14ac:dyDescent="0.25">
      <c r="C58" t="s">
        <v>39</v>
      </c>
      <c r="D58">
        <v>0.93004798320788939</v>
      </c>
      <c r="E58"/>
      <c r="F58"/>
      <c r="G58"/>
      <c r="H58"/>
      <c r="I58"/>
      <c r="J58"/>
      <c r="K58"/>
      <c r="M58" t="s">
        <v>39</v>
      </c>
      <c r="N58">
        <v>0.98421839480319673</v>
      </c>
      <c r="O58"/>
      <c r="P58"/>
      <c r="Q58"/>
      <c r="R58"/>
      <c r="S58"/>
      <c r="T58"/>
      <c r="U58"/>
    </row>
    <row r="59" spans="3:21" x14ac:dyDescent="0.25">
      <c r="C59" t="s">
        <v>40</v>
      </c>
      <c r="D59">
        <v>0.86498925106906244</v>
      </c>
      <c r="E59"/>
      <c r="F59"/>
      <c r="G59"/>
      <c r="H59"/>
      <c r="I59"/>
      <c r="J59"/>
      <c r="K59"/>
      <c r="M59" t="s">
        <v>40</v>
      </c>
      <c r="N59">
        <v>0.96868584866898133</v>
      </c>
      <c r="O59"/>
      <c r="P59"/>
      <c r="Q59"/>
      <c r="R59"/>
      <c r="S59"/>
      <c r="T59"/>
      <c r="U59"/>
    </row>
    <row r="60" spans="3:21" x14ac:dyDescent="0.25">
      <c r="C60" t="s">
        <v>41</v>
      </c>
      <c r="D60" s="21">
        <v>0.852331993356787</v>
      </c>
      <c r="E60"/>
      <c r="F60"/>
      <c r="G60"/>
      <c r="H60"/>
      <c r="I60"/>
      <c r="J60"/>
      <c r="K60"/>
      <c r="M60" t="s">
        <v>41</v>
      </c>
      <c r="N60" s="21">
        <v>0.96575014698169825</v>
      </c>
      <c r="O60"/>
      <c r="P60"/>
      <c r="Q60"/>
      <c r="R60"/>
      <c r="S60"/>
      <c r="T60"/>
      <c r="U60"/>
    </row>
    <row r="61" spans="3:21" x14ac:dyDescent="0.25">
      <c r="C61" t="s">
        <v>42</v>
      </c>
      <c r="D61">
        <v>21.623564044454326</v>
      </c>
      <c r="E61"/>
      <c r="F61"/>
      <c r="G61"/>
      <c r="H61"/>
      <c r="I61"/>
      <c r="J61"/>
      <c r="K61"/>
      <c r="M61" t="s">
        <v>42</v>
      </c>
      <c r="N61">
        <v>73.822728277733276</v>
      </c>
      <c r="O61"/>
      <c r="P61"/>
      <c r="Q61"/>
      <c r="R61"/>
      <c r="S61"/>
      <c r="T61"/>
      <c r="U61"/>
    </row>
    <row r="62" spans="3:21" ht="16.5" thickBot="1" x14ac:dyDescent="0.3">
      <c r="C62" s="22" t="s">
        <v>43</v>
      </c>
      <c r="D62" s="22">
        <v>36</v>
      </c>
      <c r="E62"/>
      <c r="F62"/>
      <c r="G62"/>
      <c r="H62"/>
      <c r="I62"/>
      <c r="J62"/>
      <c r="K62"/>
      <c r="M62" s="22" t="s">
        <v>43</v>
      </c>
      <c r="N62" s="22">
        <v>36</v>
      </c>
      <c r="O62"/>
      <c r="P62"/>
      <c r="Q62"/>
      <c r="R62"/>
      <c r="S62"/>
      <c r="T62"/>
      <c r="U62"/>
    </row>
    <row r="63" spans="3:21" x14ac:dyDescent="0.25">
      <c r="C63"/>
      <c r="D63"/>
      <c r="E63"/>
      <c r="F63"/>
      <c r="G63"/>
      <c r="H63"/>
      <c r="I63"/>
      <c r="J63"/>
      <c r="K63"/>
      <c r="M63"/>
      <c r="N63"/>
      <c r="O63"/>
      <c r="P63"/>
      <c r="Q63"/>
      <c r="R63"/>
      <c r="S63"/>
      <c r="T63"/>
      <c r="U63"/>
    </row>
    <row r="64" spans="3:21" ht="16.5" thickBot="1" x14ac:dyDescent="0.3">
      <c r="C64" t="s">
        <v>44</v>
      </c>
      <c r="D64"/>
      <c r="E64"/>
      <c r="F64"/>
      <c r="G64"/>
      <c r="H64"/>
      <c r="I64"/>
      <c r="J64"/>
      <c r="K64"/>
      <c r="M64" t="s">
        <v>44</v>
      </c>
      <c r="N64"/>
      <c r="O64"/>
      <c r="P64"/>
      <c r="Q64"/>
      <c r="R64"/>
      <c r="S64"/>
      <c r="T64"/>
      <c r="U64"/>
    </row>
    <row r="65" spans="3:21" x14ac:dyDescent="0.25">
      <c r="C65" s="23"/>
      <c r="D65" s="23" t="s">
        <v>45</v>
      </c>
      <c r="E65" s="23" t="s">
        <v>46</v>
      </c>
      <c r="F65" s="23" t="s">
        <v>47</v>
      </c>
      <c r="G65" s="23" t="s">
        <v>48</v>
      </c>
      <c r="H65" s="23" t="s">
        <v>49</v>
      </c>
      <c r="I65"/>
      <c r="J65"/>
      <c r="K65"/>
      <c r="M65" s="23"/>
      <c r="N65" s="23" t="s">
        <v>45</v>
      </c>
      <c r="O65" s="23" t="s">
        <v>46</v>
      </c>
      <c r="P65" s="23" t="s">
        <v>47</v>
      </c>
      <c r="Q65" s="23" t="s">
        <v>48</v>
      </c>
      <c r="R65" s="23" t="s">
        <v>49</v>
      </c>
      <c r="S65"/>
      <c r="T65"/>
      <c r="U65"/>
    </row>
    <row r="66" spans="3:21" x14ac:dyDescent="0.25">
      <c r="C66" t="s">
        <v>50</v>
      </c>
      <c r="D66">
        <v>3</v>
      </c>
      <c r="E66">
        <v>95862.090685379357</v>
      </c>
      <c r="F66">
        <v>31954.030228459786</v>
      </c>
      <c r="G66">
        <v>68.33938841508845</v>
      </c>
      <c r="H66" s="21">
        <v>5.258552177568545E-14</v>
      </c>
      <c r="I66"/>
      <c r="J66"/>
      <c r="K66"/>
      <c r="M66" t="s">
        <v>50</v>
      </c>
      <c r="N66">
        <v>3</v>
      </c>
      <c r="O66">
        <v>5394764.2445714828</v>
      </c>
      <c r="P66">
        <v>1798254.7481904943</v>
      </c>
      <c r="Q66">
        <v>329.96739854910123</v>
      </c>
      <c r="R66" s="21">
        <v>3.8890256199313836E-24</v>
      </c>
      <c r="S66"/>
      <c r="T66"/>
      <c r="U66"/>
    </row>
    <row r="67" spans="3:21" x14ac:dyDescent="0.25">
      <c r="C67" t="s">
        <v>51</v>
      </c>
      <c r="D67">
        <v>32</v>
      </c>
      <c r="E67">
        <v>14962.512703507777</v>
      </c>
      <c r="F67">
        <v>467.57852198461802</v>
      </c>
      <c r="G67"/>
      <c r="H67"/>
      <c r="I67"/>
      <c r="J67"/>
      <c r="K67"/>
      <c r="M67" t="s">
        <v>51</v>
      </c>
      <c r="N67">
        <v>32</v>
      </c>
      <c r="O67">
        <v>174393.44673177731</v>
      </c>
      <c r="P67">
        <v>5449.7952103680409</v>
      </c>
      <c r="Q67"/>
      <c r="R67"/>
      <c r="S67"/>
      <c r="T67"/>
      <c r="U67"/>
    </row>
    <row r="68" spans="3:21" ht="16.5" thickBot="1" x14ac:dyDescent="0.3">
      <c r="C68" s="22" t="s">
        <v>52</v>
      </c>
      <c r="D68" s="22">
        <v>35</v>
      </c>
      <c r="E68" s="22">
        <v>110824.60338888713</v>
      </c>
      <c r="F68" s="22"/>
      <c r="G68" s="22"/>
      <c r="H68" s="22"/>
      <c r="I68"/>
      <c r="J68"/>
      <c r="K68"/>
      <c r="M68" s="22" t="s">
        <v>52</v>
      </c>
      <c r="N68" s="22">
        <v>35</v>
      </c>
      <c r="O68" s="22">
        <v>5569157.6913032597</v>
      </c>
      <c r="P68" s="22"/>
      <c r="Q68" s="22"/>
      <c r="R68" s="22"/>
      <c r="S68"/>
      <c r="T68"/>
      <c r="U68"/>
    </row>
    <row r="69" spans="3:21" ht="16.5" thickBot="1" x14ac:dyDescent="0.3">
      <c r="C69"/>
      <c r="D69"/>
      <c r="E69"/>
      <c r="F69"/>
      <c r="G69"/>
      <c r="H69"/>
      <c r="I69"/>
      <c r="J69"/>
      <c r="K69"/>
      <c r="M69"/>
      <c r="N69"/>
      <c r="O69"/>
      <c r="P69"/>
      <c r="Q69"/>
      <c r="R69"/>
      <c r="S69"/>
      <c r="T69"/>
      <c r="U69"/>
    </row>
    <row r="70" spans="3:21" x14ac:dyDescent="0.25">
      <c r="C70" s="23"/>
      <c r="D70" s="23" t="s">
        <v>53</v>
      </c>
      <c r="E70" s="23" t="s">
        <v>42</v>
      </c>
      <c r="F70" s="23" t="s">
        <v>54</v>
      </c>
      <c r="G70" s="23" t="s">
        <v>55</v>
      </c>
      <c r="H70" s="23" t="s">
        <v>56</v>
      </c>
      <c r="I70" s="23" t="s">
        <v>57</v>
      </c>
      <c r="J70" s="23" t="s">
        <v>58</v>
      </c>
      <c r="K70" s="23" t="s">
        <v>59</v>
      </c>
      <c r="M70" s="23"/>
      <c r="N70" s="23" t="s">
        <v>53</v>
      </c>
      <c r="O70" s="23" t="s">
        <v>42</v>
      </c>
      <c r="P70" s="23" t="s">
        <v>54</v>
      </c>
      <c r="Q70" s="23" t="s">
        <v>55</v>
      </c>
      <c r="R70" s="23" t="s">
        <v>56</v>
      </c>
      <c r="S70" s="23" t="s">
        <v>57</v>
      </c>
      <c r="T70" s="23" t="s">
        <v>58</v>
      </c>
      <c r="U70" s="23" t="s">
        <v>59</v>
      </c>
    </row>
    <row r="71" spans="3:21" x14ac:dyDescent="0.25">
      <c r="C71" t="s">
        <v>60</v>
      </c>
      <c r="D71">
        <v>75.67849069041317</v>
      </c>
      <c r="E71">
        <v>25.694211286770173</v>
      </c>
      <c r="F71">
        <v>2.9453517699288034</v>
      </c>
      <c r="G71">
        <v>5.969223284192836E-3</v>
      </c>
      <c r="H71">
        <v>23.341094986482133</v>
      </c>
      <c r="I71">
        <v>128.01588639434419</v>
      </c>
      <c r="J71">
        <v>23.341094986482133</v>
      </c>
      <c r="K71">
        <v>128.01588639434419</v>
      </c>
      <c r="M71" t="s">
        <v>60</v>
      </c>
      <c r="N71">
        <v>-92.80695746466796</v>
      </c>
      <c r="O71">
        <v>87.719895491528263</v>
      </c>
      <c r="P71">
        <v>-1.0579921116485027</v>
      </c>
      <c r="Q71">
        <v>0.29798061977239709</v>
      </c>
      <c r="R71">
        <v>-271.48653747619727</v>
      </c>
      <c r="S71">
        <v>85.872622546861351</v>
      </c>
      <c r="T71">
        <v>-271.48653747619727</v>
      </c>
      <c r="U71">
        <v>85.872622546861351</v>
      </c>
    </row>
    <row r="72" spans="3:21" x14ac:dyDescent="0.25">
      <c r="C72" t="s">
        <v>61</v>
      </c>
      <c r="D72">
        <v>6.9823520794855898E-3</v>
      </c>
      <c r="E72">
        <v>6.2146099010656217E-4</v>
      </c>
      <c r="F72">
        <v>11.235382736233086</v>
      </c>
      <c r="G72" s="21">
        <v>1.2174789681126363E-12</v>
      </c>
      <c r="H72">
        <v>5.7164774670778054E-3</v>
      </c>
      <c r="I72">
        <v>8.2482266918933751E-3</v>
      </c>
      <c r="J72">
        <v>5.7164774670778054E-3</v>
      </c>
      <c r="K72">
        <v>8.2482266918933751E-3</v>
      </c>
      <c r="M72" t="s">
        <v>61</v>
      </c>
      <c r="N72">
        <v>5.5085391010946762E-2</v>
      </c>
      <c r="O72">
        <v>2.1216643895303599E-3</v>
      </c>
      <c r="P72">
        <v>25.963291500188756</v>
      </c>
      <c r="Q72" s="21">
        <v>4.5295323784753301E-23</v>
      </c>
      <c r="R72">
        <v>5.0763702072280453E-2</v>
      </c>
      <c r="S72">
        <v>5.940707994961307E-2</v>
      </c>
      <c r="T72">
        <v>5.0763702072280453E-2</v>
      </c>
      <c r="U72">
        <v>5.940707994961307E-2</v>
      </c>
    </row>
    <row r="73" spans="3:21" x14ac:dyDescent="0.25">
      <c r="C73" t="s">
        <v>11</v>
      </c>
      <c r="D73">
        <v>1.5255605903267631E-2</v>
      </c>
      <c r="E73">
        <v>2.8626509049794614E-2</v>
      </c>
      <c r="F73" s="24">
        <v>0.53291883675830476</v>
      </c>
      <c r="G73" s="24">
        <v>0.59777160223216008</v>
      </c>
      <c r="H73">
        <v>-4.3054684887121351E-2</v>
      </c>
      <c r="I73">
        <v>7.356589669365661E-2</v>
      </c>
      <c r="J73">
        <v>-4.3054684887121351E-2</v>
      </c>
      <c r="K73">
        <v>7.356589669365661E-2</v>
      </c>
      <c r="M73" t="s">
        <v>11</v>
      </c>
      <c r="N73">
        <v>0.34926835978359178</v>
      </c>
      <c r="O73">
        <v>9.7730743867130598E-2</v>
      </c>
      <c r="P73">
        <v>3.5737818619127473</v>
      </c>
      <c r="Q73" s="21">
        <v>1.1399992318445352E-3</v>
      </c>
      <c r="R73">
        <v>0.15019734891947467</v>
      </c>
      <c r="S73">
        <v>0.54833937064770888</v>
      </c>
      <c r="T73">
        <v>0.15019734891947467</v>
      </c>
      <c r="U73">
        <v>0.54833937064770888</v>
      </c>
    </row>
    <row r="74" spans="3:21" ht="16.5" thickBot="1" x14ac:dyDescent="0.3">
      <c r="C74" s="22" t="s">
        <v>12</v>
      </c>
      <c r="D74" s="22">
        <v>3.3672071525096277E-2</v>
      </c>
      <c r="E74" s="22">
        <v>0.12328807382028732</v>
      </c>
      <c r="F74" s="25">
        <v>0.27311702163648749</v>
      </c>
      <c r="G74" s="25">
        <v>0.78651821193998361</v>
      </c>
      <c r="H74" s="22">
        <v>-0.21745751689041737</v>
      </c>
      <c r="I74" s="22">
        <v>0.28480165994060991</v>
      </c>
      <c r="J74" s="22">
        <v>-0.21745751689041737</v>
      </c>
      <c r="K74" s="22">
        <v>0.28480165994060991</v>
      </c>
      <c r="M74" s="22" t="s">
        <v>12</v>
      </c>
      <c r="N74" s="22">
        <v>-0.60209034345005652</v>
      </c>
      <c r="O74" s="22">
        <v>0.42090480342690745</v>
      </c>
      <c r="P74" s="25">
        <v>-1.4304667909417503</v>
      </c>
      <c r="Q74" s="25">
        <v>0.16227599229272208</v>
      </c>
      <c r="R74" s="22">
        <v>-1.4594453719728437</v>
      </c>
      <c r="S74" s="22">
        <v>0.2552646850727307</v>
      </c>
      <c r="T74" s="22">
        <v>-1.4594453719728437</v>
      </c>
      <c r="U74" s="22">
        <v>0.2552646850727307</v>
      </c>
    </row>
    <row r="75" spans="3:21" x14ac:dyDescent="0.25">
      <c r="C75"/>
      <c r="D75"/>
      <c r="E75"/>
      <c r="F75"/>
      <c r="G75"/>
      <c r="H75"/>
      <c r="I75"/>
      <c r="J75"/>
      <c r="K75"/>
      <c r="M75"/>
      <c r="N75"/>
      <c r="O75"/>
      <c r="P75"/>
      <c r="Q75"/>
      <c r="R75"/>
      <c r="S75"/>
      <c r="T75"/>
      <c r="U75"/>
    </row>
    <row r="76" spans="3:21" x14ac:dyDescent="0.25">
      <c r="C76" s="19" t="s">
        <v>62</v>
      </c>
      <c r="D76"/>
      <c r="E76"/>
      <c r="F76"/>
      <c r="G76"/>
      <c r="H76"/>
      <c r="I76"/>
      <c r="J76"/>
      <c r="K76"/>
      <c r="M76" s="19" t="s">
        <v>63</v>
      </c>
      <c r="N76"/>
      <c r="O76"/>
      <c r="P76"/>
      <c r="Q76"/>
      <c r="R76"/>
      <c r="S76"/>
      <c r="T76"/>
      <c r="U76"/>
    </row>
    <row r="77" spans="3:21" x14ac:dyDescent="0.25">
      <c r="C77" t="s">
        <v>37</v>
      </c>
      <c r="D77"/>
      <c r="E77"/>
      <c r="F77"/>
      <c r="G77"/>
      <c r="H77"/>
      <c r="I77"/>
      <c r="J77"/>
      <c r="K77"/>
      <c r="M77" t="s">
        <v>37</v>
      </c>
      <c r="N77"/>
      <c r="O77"/>
      <c r="P77"/>
      <c r="Q77"/>
      <c r="R77"/>
      <c r="S77"/>
      <c r="T77"/>
      <c r="U77"/>
    </row>
    <row r="78" spans="3:21" ht="16.5" thickBot="1" x14ac:dyDescent="0.3">
      <c r="C78"/>
      <c r="D78"/>
      <c r="E78"/>
      <c r="F78"/>
      <c r="G78"/>
      <c r="H78"/>
      <c r="I78"/>
      <c r="J78"/>
      <c r="K78"/>
      <c r="M78"/>
      <c r="N78"/>
      <c r="O78"/>
      <c r="P78"/>
      <c r="Q78"/>
      <c r="R78"/>
      <c r="S78"/>
      <c r="T78"/>
      <c r="U78"/>
    </row>
    <row r="79" spans="3:21" x14ac:dyDescent="0.25">
      <c r="C79" s="20" t="s">
        <v>38</v>
      </c>
      <c r="D79" s="20"/>
      <c r="E79"/>
      <c r="F79"/>
      <c r="G79"/>
      <c r="H79"/>
      <c r="I79"/>
      <c r="J79"/>
      <c r="K79"/>
      <c r="M79" s="20" t="s">
        <v>38</v>
      </c>
      <c r="N79" s="20"/>
      <c r="O79"/>
      <c r="P79"/>
      <c r="Q79"/>
      <c r="R79"/>
      <c r="S79"/>
      <c r="T79"/>
      <c r="U79"/>
    </row>
    <row r="80" spans="3:21" x14ac:dyDescent="0.25">
      <c r="C80" t="s">
        <v>39</v>
      </c>
      <c r="D80">
        <v>0.92987877553176357</v>
      </c>
      <c r="E80"/>
      <c r="F80"/>
      <c r="G80"/>
      <c r="H80"/>
      <c r="I80"/>
      <c r="J80"/>
      <c r="K80"/>
      <c r="M80" t="s">
        <v>39</v>
      </c>
      <c r="N80">
        <v>0.98320062546771791</v>
      </c>
      <c r="O80"/>
      <c r="P80"/>
      <c r="Q80"/>
      <c r="R80"/>
      <c r="S80"/>
      <c r="T80"/>
      <c r="U80"/>
    </row>
    <row r="81" spans="3:38" x14ac:dyDescent="0.25">
      <c r="C81" t="s">
        <v>40</v>
      </c>
      <c r="D81">
        <v>0.86467453718445186</v>
      </c>
      <c r="E81"/>
      <c r="F81"/>
      <c r="G81"/>
      <c r="H81"/>
      <c r="I81"/>
      <c r="J81"/>
      <c r="K81"/>
      <c r="M81" t="s">
        <v>40</v>
      </c>
      <c r="N81">
        <v>0.96668346992011178</v>
      </c>
      <c r="O81"/>
      <c r="P81"/>
      <c r="Q81"/>
      <c r="R81"/>
      <c r="S81"/>
      <c r="T81"/>
      <c r="U81"/>
    </row>
    <row r="82" spans="3:38" x14ac:dyDescent="0.25">
      <c r="C82" t="s">
        <v>41</v>
      </c>
      <c r="D82" s="21">
        <v>0.85647299398350962</v>
      </c>
      <c r="E82"/>
      <c r="F82"/>
      <c r="G82"/>
      <c r="H82"/>
      <c r="I82"/>
      <c r="J82"/>
      <c r="K82"/>
      <c r="M82" t="s">
        <v>41</v>
      </c>
      <c r="N82" s="21">
        <v>0.96466428627890644</v>
      </c>
      <c r="O82"/>
      <c r="P82"/>
      <c r="Q82"/>
      <c r="R82"/>
      <c r="S82"/>
      <c r="T82"/>
      <c r="U82"/>
    </row>
    <row r="83" spans="3:38" ht="18" customHeight="1" x14ac:dyDescent="0.25">
      <c r="C83" t="s">
        <v>42</v>
      </c>
      <c r="D83">
        <v>21.318217238095393</v>
      </c>
      <c r="E83"/>
      <c r="F83"/>
      <c r="G83"/>
      <c r="H83"/>
      <c r="I83"/>
      <c r="J83"/>
      <c r="K83"/>
      <c r="M83" t="s">
        <v>42</v>
      </c>
      <c r="N83">
        <v>74.983838610638202</v>
      </c>
      <c r="O83"/>
      <c r="P83"/>
      <c r="Q83"/>
      <c r="R83"/>
      <c r="S83"/>
      <c r="T83"/>
      <c r="U83"/>
    </row>
    <row r="84" spans="3:38" ht="16.5" thickBot="1" x14ac:dyDescent="0.3">
      <c r="C84" s="22" t="s">
        <v>43</v>
      </c>
      <c r="D84" s="22">
        <v>36</v>
      </c>
      <c r="E84"/>
      <c r="F84"/>
      <c r="G84"/>
      <c r="H84"/>
      <c r="I84"/>
      <c r="J84"/>
      <c r="K84"/>
      <c r="L84"/>
      <c r="M84" s="22" t="s">
        <v>43</v>
      </c>
      <c r="N84" s="22">
        <v>36</v>
      </c>
      <c r="O84"/>
      <c r="P84"/>
      <c r="Q84"/>
      <c r="R84"/>
      <c r="S84" s="1" t="s">
        <v>64</v>
      </c>
      <c r="T84" s="26">
        <f>+N83/J43</f>
        <v>4.266802915048741E-2</v>
      </c>
      <c r="U84"/>
    </row>
    <row r="85" spans="3:38" x14ac:dyDescent="0.25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3:38" ht="16.5" thickBot="1" x14ac:dyDescent="0.3">
      <c r="C86" t="s">
        <v>44</v>
      </c>
      <c r="D86"/>
      <c r="E86"/>
      <c r="F86"/>
      <c r="G86"/>
      <c r="H86"/>
      <c r="I86"/>
      <c r="J86"/>
      <c r="K86"/>
      <c r="L86"/>
      <c r="M86" t="s">
        <v>44</v>
      </c>
      <c r="N86"/>
      <c r="O86"/>
      <c r="P86"/>
      <c r="Q86"/>
      <c r="R86"/>
      <c r="S86"/>
      <c r="T86"/>
      <c r="U86"/>
    </row>
    <row r="87" spans="3:38" x14ac:dyDescent="0.25">
      <c r="C87" s="23"/>
      <c r="D87" s="23" t="s">
        <v>45</v>
      </c>
      <c r="E87" s="23" t="s">
        <v>46</v>
      </c>
      <c r="F87" s="23" t="s">
        <v>47</v>
      </c>
      <c r="G87" s="23" t="s">
        <v>48</v>
      </c>
      <c r="H87" s="23" t="s">
        <v>49</v>
      </c>
      <c r="I87"/>
      <c r="J87"/>
      <c r="K87"/>
      <c r="L87"/>
      <c r="M87" s="23"/>
      <c r="N87" s="23" t="s">
        <v>45</v>
      </c>
      <c r="O87" s="23" t="s">
        <v>46</v>
      </c>
      <c r="P87" s="23" t="s">
        <v>47</v>
      </c>
      <c r="Q87" s="23" t="s">
        <v>48</v>
      </c>
      <c r="R87" s="23" t="s">
        <v>49</v>
      </c>
      <c r="S87"/>
      <c r="T87"/>
      <c r="U87"/>
    </row>
    <row r="88" spans="3:38" x14ac:dyDescent="0.25">
      <c r="C88" t="s">
        <v>50</v>
      </c>
      <c r="D88">
        <v>2</v>
      </c>
      <c r="E88">
        <v>95827.212643936422</v>
      </c>
      <c r="F88">
        <v>47913.606321968211</v>
      </c>
      <c r="G88">
        <v>105.42827319194102</v>
      </c>
      <c r="H88" s="21">
        <v>4.6533111961139091E-15</v>
      </c>
      <c r="I88"/>
      <c r="J88"/>
      <c r="K88"/>
      <c r="L88"/>
      <c r="M88" t="s">
        <v>50</v>
      </c>
      <c r="N88">
        <v>2</v>
      </c>
      <c r="O88">
        <v>5383612.6815613136</v>
      </c>
      <c r="P88">
        <v>2691806.3407806568</v>
      </c>
      <c r="Q88">
        <v>478.74965416372572</v>
      </c>
      <c r="R88" s="21">
        <v>4.2061629542848108E-25</v>
      </c>
      <c r="S88"/>
      <c r="T88"/>
      <c r="U88"/>
    </row>
    <row r="89" spans="3:38" x14ac:dyDescent="0.25">
      <c r="C89" t="s">
        <v>51</v>
      </c>
      <c r="D89">
        <v>33</v>
      </c>
      <c r="E89">
        <v>14997.390744950708</v>
      </c>
      <c r="F89">
        <v>454.46638621062749</v>
      </c>
      <c r="G89"/>
      <c r="H89"/>
      <c r="I89"/>
      <c r="J89"/>
      <c r="K89"/>
      <c r="L89"/>
      <c r="M89" t="s">
        <v>51</v>
      </c>
      <c r="N89">
        <v>33</v>
      </c>
      <c r="O89">
        <v>185545.0097419458</v>
      </c>
      <c r="P89">
        <v>5622.5760527862367</v>
      </c>
      <c r="Q89"/>
      <c r="R89"/>
      <c r="S89"/>
      <c r="T89"/>
      <c r="U89"/>
    </row>
    <row r="90" spans="3:38" ht="16.5" thickBot="1" x14ac:dyDescent="0.3">
      <c r="C90" s="22" t="s">
        <v>52</v>
      </c>
      <c r="D90" s="22">
        <v>35</v>
      </c>
      <c r="E90" s="22">
        <v>110824.60338888713</v>
      </c>
      <c r="F90" s="22"/>
      <c r="G90" s="22"/>
      <c r="H90" s="22"/>
      <c r="I90"/>
      <c r="J90"/>
      <c r="K90"/>
      <c r="L90"/>
      <c r="M90" s="22" t="s">
        <v>52</v>
      </c>
      <c r="N90" s="22">
        <v>35</v>
      </c>
      <c r="O90" s="22">
        <v>5569157.6913032597</v>
      </c>
      <c r="P90" s="22"/>
      <c r="Q90" s="22"/>
      <c r="R90" s="22"/>
      <c r="S90"/>
      <c r="T90"/>
      <c r="U90"/>
    </row>
    <row r="91" spans="3:38" ht="16.5" thickBot="1" x14ac:dyDescent="0.3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3:38" x14ac:dyDescent="0.25">
      <c r="C92" s="23"/>
      <c r="D92" s="23" t="s">
        <v>53</v>
      </c>
      <c r="E92" s="23" t="s">
        <v>42</v>
      </c>
      <c r="F92" s="23" t="s">
        <v>54</v>
      </c>
      <c r="G92" s="23" t="s">
        <v>55</v>
      </c>
      <c r="H92" s="23" t="s">
        <v>56</v>
      </c>
      <c r="I92" s="23" t="s">
        <v>57</v>
      </c>
      <c r="J92" s="23" t="s">
        <v>58</v>
      </c>
      <c r="K92" s="23" t="s">
        <v>59</v>
      </c>
      <c r="L92"/>
      <c r="M92" s="23"/>
      <c r="N92" s="23" t="s">
        <v>53</v>
      </c>
      <c r="O92" s="23" t="s">
        <v>42</v>
      </c>
      <c r="P92" s="23" t="s">
        <v>54</v>
      </c>
      <c r="Q92" s="23" t="s">
        <v>55</v>
      </c>
      <c r="R92" s="23" t="s">
        <v>56</v>
      </c>
      <c r="S92" s="23" t="s">
        <v>57</v>
      </c>
      <c r="T92" s="23" t="s">
        <v>58</v>
      </c>
      <c r="U92" s="23" t="s">
        <v>59</v>
      </c>
    </row>
    <row r="93" spans="3:38" x14ac:dyDescent="0.25">
      <c r="C93" t="s">
        <v>60</v>
      </c>
      <c r="D93">
        <v>79.415264161091827</v>
      </c>
      <c r="E93">
        <v>21.441377228293721</v>
      </c>
      <c r="F93">
        <v>3.703832235939426</v>
      </c>
      <c r="G93">
        <v>7.7326340798667347E-4</v>
      </c>
      <c r="H93">
        <v>35.79245419174633</v>
      </c>
      <c r="I93">
        <v>123.03807413043732</v>
      </c>
      <c r="J93">
        <v>35.79245419174633</v>
      </c>
      <c r="K93">
        <v>123.03807413043732</v>
      </c>
      <c r="L93"/>
      <c r="M93" t="s">
        <v>60</v>
      </c>
      <c r="N93">
        <v>-159.62420750166427</v>
      </c>
      <c r="O93">
        <v>75.417036599249386</v>
      </c>
      <c r="P93">
        <v>-2.1165536952860462</v>
      </c>
      <c r="Q93">
        <v>4.1924817687187296E-2</v>
      </c>
      <c r="R93">
        <v>-313.06132215113388</v>
      </c>
      <c r="S93">
        <v>-6.1870928521946666</v>
      </c>
      <c r="T93">
        <v>-313.06132215113388</v>
      </c>
      <c r="U93">
        <v>-6.1870928521946666</v>
      </c>
      <c r="AH93" s="27"/>
      <c r="AI93" s="27"/>
      <c r="AJ93" s="27"/>
      <c r="AK93" s="28"/>
    </row>
    <row r="94" spans="3:38" x14ac:dyDescent="0.25">
      <c r="C94" t="s">
        <v>61</v>
      </c>
      <c r="D94">
        <v>6.917472887219285E-3</v>
      </c>
      <c r="E94">
        <v>5.6615840590551123E-4</v>
      </c>
      <c r="F94">
        <v>12.218264031875513</v>
      </c>
      <c r="G94" s="21">
        <v>8.5725174146753942E-14</v>
      </c>
      <c r="H94">
        <v>5.7656149496249903E-3</v>
      </c>
      <c r="I94">
        <v>8.0693308248135798E-3</v>
      </c>
      <c r="J94">
        <v>5.7656149496249903E-3</v>
      </c>
      <c r="K94">
        <v>8.0693308248135798E-3</v>
      </c>
      <c r="L94"/>
      <c r="M94" t="s">
        <v>61</v>
      </c>
      <c r="N94">
        <v>5.62454959105003E-2</v>
      </c>
      <c r="O94">
        <v>1.9913827719426997E-3</v>
      </c>
      <c r="P94" s="21">
        <v>28.244442355815831</v>
      </c>
      <c r="Q94" s="21">
        <v>1.0762554264864565E-24</v>
      </c>
      <c r="R94">
        <v>5.2193997197905836E-2</v>
      </c>
      <c r="S94">
        <v>6.0296994623094818E-2</v>
      </c>
      <c r="T94">
        <v>5.2193997197905836E-2</v>
      </c>
      <c r="U94">
        <v>6.0296994623094818E-2</v>
      </c>
      <c r="AH94" s="27"/>
      <c r="AI94" s="27"/>
      <c r="AJ94" s="27"/>
      <c r="AK94" s="28"/>
      <c r="AL94" s="28"/>
    </row>
    <row r="95" spans="3:38" ht="16.5" thickBot="1" x14ac:dyDescent="0.3">
      <c r="C95" s="22" t="s">
        <v>11</v>
      </c>
      <c r="D95" s="22">
        <v>1.0388448611004183E-2</v>
      </c>
      <c r="E95" s="22">
        <v>2.2086702881190311E-2</v>
      </c>
      <c r="F95" s="25">
        <v>0.4703485471274797</v>
      </c>
      <c r="G95" s="25">
        <v>0.64119990594625065</v>
      </c>
      <c r="H95" s="22">
        <v>-3.4547286270995917E-2</v>
      </c>
      <c r="I95" s="22">
        <v>5.5324183493004275E-2</v>
      </c>
      <c r="J95" s="22">
        <v>-3.4547286270995917E-2</v>
      </c>
      <c r="K95" s="22">
        <v>5.5324183493004275E-2</v>
      </c>
      <c r="L95"/>
      <c r="M95" s="22" t="s">
        <v>11</v>
      </c>
      <c r="N95" s="22">
        <v>0.43629800402571201</v>
      </c>
      <c r="O95" s="22">
        <v>7.7686879056883804E-2</v>
      </c>
      <c r="P95" s="29">
        <v>5.6161093008543448</v>
      </c>
      <c r="Q95" s="29">
        <v>2.9917458523246232E-6</v>
      </c>
      <c r="R95" s="22">
        <v>0.2782428601733849</v>
      </c>
      <c r="S95" s="22">
        <v>0.59435314787803861</v>
      </c>
      <c r="T95" s="22">
        <v>0.2782428601733849</v>
      </c>
      <c r="U95" s="22">
        <v>0.59435314787803861</v>
      </c>
      <c r="AI95" s="27"/>
    </row>
    <row r="96" spans="3:38" x14ac:dyDescent="0.25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3:22" x14ac:dyDescent="0.25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 s="30"/>
    </row>
    <row r="98" spans="3:22" x14ac:dyDescent="0.25">
      <c r="C98" s="19" t="s">
        <v>65</v>
      </c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3:22" x14ac:dyDescent="0.25">
      <c r="C99" t="s">
        <v>37</v>
      </c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3:22" ht="16.5" thickBot="1" x14ac:dyDescent="0.3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3:22" x14ac:dyDescent="0.25">
      <c r="C101" s="20" t="s">
        <v>38</v>
      </c>
      <c r="D101" s="20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3:22" x14ac:dyDescent="0.25">
      <c r="C102" t="s">
        <v>39</v>
      </c>
      <c r="D102">
        <v>0.92939083957519897</v>
      </c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3:22" x14ac:dyDescent="0.25">
      <c r="C103" t="s">
        <v>40</v>
      </c>
      <c r="D103" s="21">
        <v>0.86376733268629313</v>
      </c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3:22" x14ac:dyDescent="0.25">
      <c r="C104" t="s">
        <v>41</v>
      </c>
      <c r="D104">
        <v>0.85976048953000761</v>
      </c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3:22" x14ac:dyDescent="0.25">
      <c r="C105" t="s">
        <v>42</v>
      </c>
      <c r="D105">
        <v>21.072655353249075</v>
      </c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3:22" ht="16.5" thickBot="1" x14ac:dyDescent="0.3">
      <c r="C106" s="22" t="s">
        <v>43</v>
      </c>
      <c r="D106" s="22">
        <v>36</v>
      </c>
      <c r="E106"/>
      <c r="F106"/>
      <c r="G106"/>
      <c r="H106"/>
      <c r="I106" s="1" t="s">
        <v>64</v>
      </c>
      <c r="J106" s="26">
        <f>+D105/I43</f>
        <v>6.8665014667721014E-2</v>
      </c>
      <c r="K106"/>
      <c r="L106"/>
      <c r="M106"/>
      <c r="N106"/>
      <c r="O106"/>
      <c r="P106"/>
      <c r="Q106"/>
      <c r="R106"/>
      <c r="S106"/>
      <c r="T106"/>
      <c r="U106"/>
    </row>
    <row r="107" spans="3:22" x14ac:dyDescent="0.25"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3:22" ht="16.5" thickBot="1" x14ac:dyDescent="0.3">
      <c r="C108" t="s">
        <v>44</v>
      </c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3:22" x14ac:dyDescent="0.25">
      <c r="C109" s="23"/>
      <c r="D109" s="23" t="s">
        <v>45</v>
      </c>
      <c r="E109" s="23" t="s">
        <v>46</v>
      </c>
      <c r="F109" s="23" t="s">
        <v>47</v>
      </c>
      <c r="G109" s="23" t="s">
        <v>48</v>
      </c>
      <c r="H109" s="23" t="s">
        <v>49</v>
      </c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3:22" x14ac:dyDescent="0.25">
      <c r="C110" t="s">
        <v>50</v>
      </c>
      <c r="D110">
        <v>1</v>
      </c>
      <c r="E110">
        <v>95726.672065235354</v>
      </c>
      <c r="F110">
        <v>95726.672065235354</v>
      </c>
      <c r="G110">
        <v>215.57303318232198</v>
      </c>
      <c r="H110" s="21">
        <v>2.7906619142548863E-16</v>
      </c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3:22" x14ac:dyDescent="0.25">
      <c r="C111" t="s">
        <v>51</v>
      </c>
      <c r="D111">
        <v>34</v>
      </c>
      <c r="E111">
        <v>15097.931323651774</v>
      </c>
      <c r="F111">
        <v>444.05680363681688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3:22" ht="16.5" thickBot="1" x14ac:dyDescent="0.3">
      <c r="C112" s="22" t="s">
        <v>52</v>
      </c>
      <c r="D112" s="22">
        <v>35</v>
      </c>
      <c r="E112" s="22">
        <v>110824.60338888713</v>
      </c>
      <c r="F112" s="22"/>
      <c r="G112" s="22"/>
      <c r="H112" s="2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2:21" ht="16.5" thickBot="1" x14ac:dyDescent="0.3"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2:21" x14ac:dyDescent="0.25">
      <c r="C114" s="23"/>
      <c r="D114" s="23" t="s">
        <v>53</v>
      </c>
      <c r="E114" s="23" t="s">
        <v>42</v>
      </c>
      <c r="F114" s="23" t="s">
        <v>54</v>
      </c>
      <c r="G114" s="23" t="s">
        <v>55</v>
      </c>
      <c r="H114" s="23" t="s">
        <v>56</v>
      </c>
      <c r="I114" s="23" t="s">
        <v>57</v>
      </c>
      <c r="J114" s="23" t="s">
        <v>58</v>
      </c>
      <c r="K114" s="23" t="s">
        <v>59</v>
      </c>
      <c r="L114"/>
      <c r="M114"/>
      <c r="N114"/>
      <c r="O114"/>
      <c r="P114"/>
      <c r="Q114"/>
      <c r="R114"/>
      <c r="S114"/>
      <c r="T114"/>
      <c r="U114"/>
    </row>
    <row r="115" spans="2:21" x14ac:dyDescent="0.25">
      <c r="C115" t="s">
        <v>60</v>
      </c>
      <c r="D115">
        <v>86.330438886477296</v>
      </c>
      <c r="E115">
        <v>15.427177526224146</v>
      </c>
      <c r="F115">
        <v>5.5959969825800631</v>
      </c>
      <c r="G115">
        <v>2.8857691021520135E-6</v>
      </c>
      <c r="H115">
        <v>54.978642064538548</v>
      </c>
      <c r="I115">
        <v>117.68223570841602</v>
      </c>
      <c r="J115">
        <v>54.978642064538548</v>
      </c>
      <c r="K115">
        <v>117.68223570841602</v>
      </c>
      <c r="L115"/>
      <c r="M115"/>
      <c r="N115"/>
      <c r="O115"/>
      <c r="P115"/>
      <c r="Q115"/>
      <c r="R115"/>
      <c r="S115"/>
      <c r="T115"/>
      <c r="U115"/>
    </row>
    <row r="116" spans="2:21" ht="16.5" thickBot="1" x14ac:dyDescent="0.3">
      <c r="C116" s="22" t="s">
        <v>61</v>
      </c>
      <c r="D116" s="22">
        <v>6.7663939856931104E-3</v>
      </c>
      <c r="E116" s="22">
        <v>4.6085050270714583E-4</v>
      </c>
      <c r="F116" s="29">
        <v>14.682405565244474</v>
      </c>
      <c r="G116" s="29">
        <v>2.7906619142548863E-16</v>
      </c>
      <c r="H116" s="22">
        <v>5.8298330819502048E-3</v>
      </c>
      <c r="I116" s="22">
        <v>7.7029548894360193E-3</v>
      </c>
      <c r="J116" s="22">
        <v>5.8298330819502048E-3</v>
      </c>
      <c r="K116" s="22">
        <v>7.7029548894360193E-3</v>
      </c>
      <c r="L116"/>
      <c r="M116"/>
      <c r="N116"/>
      <c r="O116"/>
      <c r="P116"/>
      <c r="Q116"/>
      <c r="R116"/>
      <c r="S116"/>
      <c r="T116"/>
      <c r="U116"/>
    </row>
    <row r="117" spans="2:21" x14ac:dyDescent="0.25"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2:21" x14ac:dyDescent="0.25"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</row>
    <row r="119" spans="2:21" x14ac:dyDescent="0.25"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</row>
    <row r="120" spans="2:21" x14ac:dyDescent="0.25">
      <c r="C120" s="63" t="s">
        <v>66</v>
      </c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/>
      <c r="O120"/>
      <c r="P120"/>
      <c r="Q120"/>
      <c r="R120"/>
      <c r="S120"/>
      <c r="T120"/>
    </row>
    <row r="121" spans="2:21" x14ac:dyDescent="0.25">
      <c r="N121"/>
      <c r="O121"/>
      <c r="P121"/>
      <c r="Q121"/>
      <c r="R121"/>
      <c r="S121"/>
      <c r="T121"/>
    </row>
    <row r="122" spans="2:21" x14ac:dyDescent="0.25">
      <c r="G122" s="63" t="s">
        <v>67</v>
      </c>
      <c r="H122" s="63"/>
      <c r="I122" s="63"/>
      <c r="J122" s="63" t="s">
        <v>67</v>
      </c>
      <c r="K122" s="63"/>
      <c r="L122" s="63"/>
      <c r="M122" s="63"/>
      <c r="N122"/>
      <c r="O122"/>
      <c r="P122"/>
      <c r="Q122"/>
      <c r="R122"/>
      <c r="S122"/>
      <c r="T122"/>
    </row>
    <row r="123" spans="2:21" ht="81.75" customHeight="1" x14ac:dyDescent="0.25">
      <c r="B123" s="71" t="s">
        <v>1</v>
      </c>
      <c r="C123" s="71" t="s">
        <v>2</v>
      </c>
      <c r="D123" s="3" t="s">
        <v>3</v>
      </c>
      <c r="E123" s="3" t="s">
        <v>4</v>
      </c>
      <c r="F123" s="3" t="s">
        <v>5</v>
      </c>
      <c r="G123" s="3" t="s">
        <v>68</v>
      </c>
      <c r="H123" s="3" t="s">
        <v>69</v>
      </c>
      <c r="I123" s="3" t="s">
        <v>8</v>
      </c>
      <c r="J123" s="3" t="s">
        <v>68</v>
      </c>
      <c r="K123" s="3" t="s">
        <v>69</v>
      </c>
      <c r="L123" s="3" t="s">
        <v>70</v>
      </c>
      <c r="M123" s="3" t="s">
        <v>9</v>
      </c>
      <c r="N123"/>
      <c r="O123"/>
      <c r="P123"/>
      <c r="Q123"/>
      <c r="R123"/>
      <c r="S123"/>
      <c r="T123"/>
    </row>
    <row r="124" spans="2:21" x14ac:dyDescent="0.25">
      <c r="B124" s="71"/>
      <c r="C124" s="71"/>
      <c r="D124" s="3" t="s">
        <v>10</v>
      </c>
      <c r="E124" s="3" t="s">
        <v>11</v>
      </c>
      <c r="F124" s="3" t="s">
        <v>12</v>
      </c>
      <c r="G124" s="3"/>
      <c r="H124" s="3"/>
      <c r="I124" s="3" t="s">
        <v>87</v>
      </c>
      <c r="J124" s="31"/>
      <c r="K124" s="31"/>
      <c r="L124" s="31"/>
      <c r="M124" s="3" t="s">
        <v>87</v>
      </c>
      <c r="N124"/>
      <c r="O124"/>
      <c r="P124"/>
      <c r="Q124"/>
      <c r="R124"/>
      <c r="S124"/>
      <c r="T124"/>
    </row>
    <row r="125" spans="2:21" ht="15.75" customHeight="1" x14ac:dyDescent="0.25">
      <c r="B125" s="65">
        <v>2023</v>
      </c>
      <c r="C125" s="5" t="s">
        <v>14</v>
      </c>
      <c r="D125" s="6">
        <f t="shared" ref="D125:F140" si="5">+D6</f>
        <v>23035</v>
      </c>
      <c r="E125" s="7">
        <f t="shared" si="5"/>
        <v>562</v>
      </c>
      <c r="F125" s="7">
        <f t="shared" si="5"/>
        <v>0</v>
      </c>
      <c r="G125" s="32">
        <f>+$D$115</f>
        <v>86.330438886477296</v>
      </c>
      <c r="H125" s="32">
        <f>+$D$116</f>
        <v>6.7663939856931104E-3</v>
      </c>
      <c r="I125" s="6">
        <f t="shared" ref="I125:I148" si="6">+G125+H125*D125</f>
        <v>242.19432434691811</v>
      </c>
      <c r="J125" s="31">
        <f>+$N$93</f>
        <v>-159.62420750166427</v>
      </c>
      <c r="K125" s="31">
        <f>+$N$94</f>
        <v>5.62454959105003E-2</v>
      </c>
      <c r="L125" s="31">
        <f>+$N$95</f>
        <v>0.43629800402571201</v>
      </c>
      <c r="M125" s="6">
        <f t="shared" ref="M125:M159" si="7">+J125+K125*D125+L125*E125</f>
        <v>1381.1902690591601</v>
      </c>
      <c r="N125"/>
      <c r="O125"/>
      <c r="P125"/>
      <c r="Q125"/>
      <c r="R125"/>
      <c r="S125"/>
      <c r="T125"/>
    </row>
    <row r="126" spans="2:21" x14ac:dyDescent="0.25">
      <c r="B126" s="65"/>
      <c r="C126" s="5" t="s">
        <v>15</v>
      </c>
      <c r="D126" s="6">
        <f t="shared" si="5"/>
        <v>15458</v>
      </c>
      <c r="E126" s="7">
        <f t="shared" si="5"/>
        <v>578</v>
      </c>
      <c r="F126" s="7">
        <f t="shared" si="5"/>
        <v>0</v>
      </c>
      <c r="G126" s="32">
        <f t="shared" ref="G126:G160" si="8">+$D$115</f>
        <v>86.330438886477296</v>
      </c>
      <c r="H126" s="32">
        <f t="shared" ref="H126:H160" si="9">+$D$116</f>
        <v>6.7663939856931104E-3</v>
      </c>
      <c r="I126" s="6">
        <f t="shared" si="6"/>
        <v>190.9253571173214</v>
      </c>
      <c r="J126" s="31">
        <f t="shared" ref="J126:J160" si="10">+$N$93</f>
        <v>-159.62420750166427</v>
      </c>
      <c r="K126" s="31">
        <f t="shared" ref="K126:K160" si="11">+$N$94</f>
        <v>5.62454959105003E-2</v>
      </c>
      <c r="L126" s="31">
        <f t="shared" ref="L126:L160" si="12">+$N$95</f>
        <v>0.43629800402571201</v>
      </c>
      <c r="M126" s="6">
        <f t="shared" si="7"/>
        <v>961.99891460971094</v>
      </c>
      <c r="N126"/>
      <c r="O126"/>
      <c r="P126"/>
      <c r="Q126"/>
      <c r="R126"/>
      <c r="S126"/>
      <c r="T126"/>
    </row>
    <row r="127" spans="2:21" x14ac:dyDescent="0.25">
      <c r="B127" s="65"/>
      <c r="C127" s="5" t="s">
        <v>16</v>
      </c>
      <c r="D127" s="6">
        <f t="shared" si="5"/>
        <v>32203</v>
      </c>
      <c r="E127" s="7">
        <f t="shared" si="5"/>
        <v>445</v>
      </c>
      <c r="F127" s="7">
        <f t="shared" si="5"/>
        <v>0</v>
      </c>
      <c r="G127" s="32">
        <f t="shared" si="8"/>
        <v>86.330438886477296</v>
      </c>
      <c r="H127" s="32">
        <f t="shared" si="9"/>
        <v>6.7663939856931104E-3</v>
      </c>
      <c r="I127" s="6">
        <f t="shared" si="6"/>
        <v>304.22862440775253</v>
      </c>
      <c r="J127" s="31">
        <f t="shared" si="10"/>
        <v>-159.62420750166427</v>
      </c>
      <c r="K127" s="31">
        <f t="shared" si="11"/>
        <v>5.62454959105003E-2</v>
      </c>
      <c r="L127" s="31">
        <f t="shared" si="12"/>
        <v>0.43629800402571201</v>
      </c>
      <c r="M127" s="6">
        <f t="shared" si="7"/>
        <v>1845.8021090956186</v>
      </c>
      <c r="N127"/>
      <c r="O127"/>
      <c r="P127"/>
      <c r="Q127"/>
      <c r="R127"/>
      <c r="S127"/>
      <c r="T127"/>
    </row>
    <row r="128" spans="2:21" x14ac:dyDescent="0.25">
      <c r="B128" s="65"/>
      <c r="C128" s="5" t="s">
        <v>17</v>
      </c>
      <c r="D128" s="6">
        <f t="shared" si="5"/>
        <v>39744</v>
      </c>
      <c r="E128" s="7">
        <f t="shared" si="5"/>
        <v>112</v>
      </c>
      <c r="F128" s="7">
        <f t="shared" si="5"/>
        <v>0</v>
      </c>
      <c r="G128" s="32">
        <f t="shared" si="8"/>
        <v>86.330438886477296</v>
      </c>
      <c r="H128" s="32">
        <f t="shared" si="9"/>
        <v>6.7663939856931104E-3</v>
      </c>
      <c r="I128" s="6">
        <f t="shared" si="6"/>
        <v>355.25400145386425</v>
      </c>
      <c r="J128" s="31">
        <f t="shared" si="10"/>
        <v>-159.62420750166427</v>
      </c>
      <c r="K128" s="31">
        <f t="shared" si="11"/>
        <v>5.62454959105003E-2</v>
      </c>
      <c r="L128" s="31">
        <f t="shared" si="12"/>
        <v>0.43629800402571201</v>
      </c>
      <c r="M128" s="6">
        <f t="shared" si="7"/>
        <v>2124.6621584161394</v>
      </c>
      <c r="N128"/>
      <c r="O128"/>
      <c r="P128"/>
      <c r="Q128"/>
      <c r="R128"/>
      <c r="S128"/>
      <c r="T128"/>
    </row>
    <row r="129" spans="2:20" x14ac:dyDescent="0.25">
      <c r="B129" s="65"/>
      <c r="C129" s="5" t="s">
        <v>18</v>
      </c>
      <c r="D129" s="6">
        <f t="shared" si="5"/>
        <v>44037</v>
      </c>
      <c r="E129" s="7">
        <f t="shared" si="5"/>
        <v>14</v>
      </c>
      <c r="F129" s="7">
        <f t="shared" si="5"/>
        <v>0</v>
      </c>
      <c r="G129" s="32">
        <f t="shared" si="8"/>
        <v>86.330438886477296</v>
      </c>
      <c r="H129" s="32">
        <f t="shared" si="9"/>
        <v>6.7663939856931104E-3</v>
      </c>
      <c r="I129" s="6">
        <f t="shared" si="6"/>
        <v>384.30213083444477</v>
      </c>
      <c r="J129" s="31">
        <f t="shared" si="10"/>
        <v>-159.62420750166427</v>
      </c>
      <c r="K129" s="31">
        <f t="shared" si="11"/>
        <v>5.62454959105003E-2</v>
      </c>
      <c r="L129" s="31">
        <f t="shared" si="12"/>
        <v>0.43629800402571201</v>
      </c>
      <c r="M129" s="6">
        <f t="shared" si="7"/>
        <v>2323.366867965397</v>
      </c>
      <c r="N129"/>
      <c r="O129"/>
      <c r="P129"/>
      <c r="Q129"/>
      <c r="R129"/>
      <c r="S129"/>
      <c r="T129"/>
    </row>
    <row r="130" spans="2:20" x14ac:dyDescent="0.25">
      <c r="B130" s="65"/>
      <c r="C130" s="5" t="s">
        <v>19</v>
      </c>
      <c r="D130" s="6">
        <f t="shared" si="5"/>
        <v>34418</v>
      </c>
      <c r="E130" s="7">
        <f t="shared" si="5"/>
        <v>0</v>
      </c>
      <c r="F130" s="7">
        <f t="shared" si="5"/>
        <v>69</v>
      </c>
      <c r="G130" s="32">
        <f t="shared" si="8"/>
        <v>86.330438886477296</v>
      </c>
      <c r="H130" s="32">
        <f t="shared" si="9"/>
        <v>6.7663939856931104E-3</v>
      </c>
      <c r="I130" s="6">
        <f t="shared" si="6"/>
        <v>319.21618708606275</v>
      </c>
      <c r="J130" s="31">
        <f t="shared" si="10"/>
        <v>-159.62420750166427</v>
      </c>
      <c r="K130" s="31">
        <f t="shared" si="11"/>
        <v>5.62454959105003E-2</v>
      </c>
      <c r="L130" s="31">
        <f t="shared" si="12"/>
        <v>0.43629800402571201</v>
      </c>
      <c r="M130" s="6">
        <f t="shared" si="7"/>
        <v>1776.233270745935</v>
      </c>
      <c r="N130"/>
      <c r="O130"/>
      <c r="P130"/>
      <c r="Q130"/>
      <c r="R130"/>
      <c r="S130"/>
      <c r="T130"/>
    </row>
    <row r="131" spans="2:20" x14ac:dyDescent="0.25">
      <c r="B131" s="65"/>
      <c r="C131" s="5" t="s">
        <v>20</v>
      </c>
      <c r="D131" s="6">
        <f t="shared" si="5"/>
        <v>33096</v>
      </c>
      <c r="E131" s="7">
        <f t="shared" si="5"/>
        <v>0</v>
      </c>
      <c r="F131" s="7">
        <f t="shared" si="5"/>
        <v>145</v>
      </c>
      <c r="G131" s="32">
        <f t="shared" si="8"/>
        <v>86.330438886477296</v>
      </c>
      <c r="H131" s="32">
        <f t="shared" si="9"/>
        <v>6.7663939856931104E-3</v>
      </c>
      <c r="I131" s="6">
        <f t="shared" si="6"/>
        <v>310.2710142369765</v>
      </c>
      <c r="J131" s="31">
        <f t="shared" si="10"/>
        <v>-159.62420750166427</v>
      </c>
      <c r="K131" s="31">
        <f t="shared" si="11"/>
        <v>5.62454959105003E-2</v>
      </c>
      <c r="L131" s="31">
        <f t="shared" si="12"/>
        <v>0.43629800402571201</v>
      </c>
      <c r="M131" s="6">
        <f t="shared" si="7"/>
        <v>1701.8767251522536</v>
      </c>
      <c r="N131"/>
      <c r="O131"/>
      <c r="P131"/>
      <c r="Q131"/>
      <c r="R131"/>
      <c r="S131"/>
      <c r="T131"/>
    </row>
    <row r="132" spans="2:20" x14ac:dyDescent="0.25">
      <c r="B132" s="65"/>
      <c r="C132" s="5" t="s">
        <v>21</v>
      </c>
      <c r="D132" s="6">
        <f t="shared" si="5"/>
        <v>25139</v>
      </c>
      <c r="E132" s="7">
        <f t="shared" si="5"/>
        <v>0</v>
      </c>
      <c r="F132" s="7">
        <f t="shared" si="5"/>
        <v>57</v>
      </c>
      <c r="G132" s="32">
        <f t="shared" si="8"/>
        <v>86.330438886477296</v>
      </c>
      <c r="H132" s="32">
        <f t="shared" si="9"/>
        <v>6.7663939856931104E-3</v>
      </c>
      <c r="I132" s="6">
        <f t="shared" si="6"/>
        <v>256.43081729281641</v>
      </c>
      <c r="J132" s="31">
        <f t="shared" si="10"/>
        <v>-159.62420750166427</v>
      </c>
      <c r="K132" s="31">
        <f t="shared" si="11"/>
        <v>5.62454959105003E-2</v>
      </c>
      <c r="L132" s="31">
        <f t="shared" si="12"/>
        <v>0.43629800402571201</v>
      </c>
      <c r="M132" s="6">
        <f t="shared" si="7"/>
        <v>1254.3313141924027</v>
      </c>
      <c r="N132"/>
      <c r="O132"/>
      <c r="P132"/>
      <c r="Q132"/>
      <c r="R132"/>
      <c r="S132"/>
      <c r="T132"/>
    </row>
    <row r="133" spans="2:20" x14ac:dyDescent="0.25">
      <c r="B133" s="65"/>
      <c r="C133" s="5" t="s">
        <v>22</v>
      </c>
      <c r="D133" s="6">
        <f t="shared" si="5"/>
        <v>32225</v>
      </c>
      <c r="E133" s="7">
        <f t="shared" si="5"/>
        <v>0</v>
      </c>
      <c r="F133" s="7">
        <f t="shared" si="5"/>
        <v>30</v>
      </c>
      <c r="G133" s="32">
        <f t="shared" si="8"/>
        <v>86.330438886477296</v>
      </c>
      <c r="H133" s="32">
        <f t="shared" si="9"/>
        <v>6.7663939856931104E-3</v>
      </c>
      <c r="I133" s="6">
        <f t="shared" si="6"/>
        <v>304.37748507543779</v>
      </c>
      <c r="J133" s="31">
        <f t="shared" si="10"/>
        <v>-159.62420750166427</v>
      </c>
      <c r="K133" s="31">
        <f t="shared" si="11"/>
        <v>5.62454959105003E-2</v>
      </c>
      <c r="L133" s="31">
        <f t="shared" si="12"/>
        <v>0.43629800402571201</v>
      </c>
      <c r="M133" s="6">
        <f t="shared" si="7"/>
        <v>1652.886898214208</v>
      </c>
      <c r="N133"/>
      <c r="O133"/>
      <c r="P133"/>
      <c r="Q133"/>
      <c r="R133"/>
      <c r="S133"/>
      <c r="T133"/>
    </row>
    <row r="134" spans="2:20" x14ac:dyDescent="0.25">
      <c r="B134" s="65"/>
      <c r="C134" s="5" t="s">
        <v>23</v>
      </c>
      <c r="D134" s="6">
        <f t="shared" si="5"/>
        <v>26621</v>
      </c>
      <c r="E134" s="7">
        <f t="shared" si="5"/>
        <v>37</v>
      </c>
      <c r="F134" s="7">
        <f t="shared" si="5"/>
        <v>7</v>
      </c>
      <c r="G134" s="32">
        <f t="shared" si="8"/>
        <v>86.330438886477296</v>
      </c>
      <c r="H134" s="32">
        <f t="shared" si="9"/>
        <v>6.7663939856931104E-3</v>
      </c>
      <c r="I134" s="6">
        <f t="shared" si="6"/>
        <v>266.45861317961356</v>
      </c>
      <c r="J134" s="31">
        <f t="shared" si="10"/>
        <v>-159.62420750166427</v>
      </c>
      <c r="K134" s="31">
        <f t="shared" si="11"/>
        <v>5.62454959105003E-2</v>
      </c>
      <c r="L134" s="31">
        <f t="shared" si="12"/>
        <v>0.43629800402571201</v>
      </c>
      <c r="M134" s="6">
        <f t="shared" si="7"/>
        <v>1353.8301652807154</v>
      </c>
      <c r="N134"/>
      <c r="O134"/>
      <c r="P134"/>
      <c r="Q134"/>
      <c r="R134"/>
      <c r="S134"/>
      <c r="T134"/>
    </row>
    <row r="135" spans="2:20" x14ac:dyDescent="0.25">
      <c r="B135" s="65"/>
      <c r="C135" s="5" t="s">
        <v>24</v>
      </c>
      <c r="D135" s="6">
        <f t="shared" si="5"/>
        <v>31758</v>
      </c>
      <c r="E135" s="7">
        <f t="shared" si="5"/>
        <v>256</v>
      </c>
      <c r="F135" s="7">
        <f t="shared" si="5"/>
        <v>0</v>
      </c>
      <c r="G135" s="32">
        <f t="shared" si="8"/>
        <v>86.330438886477296</v>
      </c>
      <c r="H135" s="32">
        <f t="shared" si="9"/>
        <v>6.7663939856931104E-3</v>
      </c>
      <c r="I135" s="6">
        <f t="shared" si="6"/>
        <v>301.21757908411911</v>
      </c>
      <c r="J135" s="31">
        <f t="shared" si="10"/>
        <v>-159.62420750166427</v>
      </c>
      <c r="K135" s="31">
        <f t="shared" si="11"/>
        <v>5.62454959105003E-2</v>
      </c>
      <c r="L135" s="31">
        <f t="shared" si="12"/>
        <v>0.43629800402571201</v>
      </c>
      <c r="M135" s="6">
        <f t="shared" si="7"/>
        <v>1738.3125406545864</v>
      </c>
      <c r="N135"/>
      <c r="O135"/>
      <c r="P135"/>
      <c r="Q135"/>
      <c r="R135"/>
      <c r="S135"/>
      <c r="T135"/>
    </row>
    <row r="136" spans="2:20" x14ac:dyDescent="0.25">
      <c r="B136" s="65"/>
      <c r="C136" s="5" t="s">
        <v>25</v>
      </c>
      <c r="D136" s="6">
        <f t="shared" si="5"/>
        <v>20841</v>
      </c>
      <c r="E136" s="7">
        <f t="shared" si="5"/>
        <v>417</v>
      </c>
      <c r="F136" s="7">
        <f t="shared" si="5"/>
        <v>0</v>
      </c>
      <c r="G136" s="32">
        <f t="shared" si="8"/>
        <v>86.330438886477296</v>
      </c>
      <c r="H136" s="32">
        <f t="shared" si="9"/>
        <v>6.7663939856931104E-3</v>
      </c>
      <c r="I136" s="6">
        <f t="shared" si="6"/>
        <v>227.34885594230741</v>
      </c>
      <c r="J136" s="31">
        <f t="shared" si="10"/>
        <v>-159.62420750166427</v>
      </c>
      <c r="K136" s="31">
        <f t="shared" si="11"/>
        <v>5.62454959105003E-2</v>
      </c>
      <c r="L136" s="31">
        <f t="shared" si="12"/>
        <v>0.43629800402571201</v>
      </c>
      <c r="M136" s="6">
        <f t="shared" si="7"/>
        <v>1194.5244404477944</v>
      </c>
      <c r="N136"/>
      <c r="O136"/>
      <c r="P136"/>
      <c r="Q136"/>
      <c r="R136"/>
      <c r="S136"/>
      <c r="T136"/>
    </row>
    <row r="137" spans="2:20" ht="15.75" customHeight="1" x14ac:dyDescent="0.25">
      <c r="B137" s="65">
        <v>2024</v>
      </c>
      <c r="C137" s="5" t="s">
        <v>14</v>
      </c>
      <c r="D137" s="6">
        <f t="shared" si="5"/>
        <v>27859</v>
      </c>
      <c r="E137" s="7">
        <f t="shared" si="5"/>
        <v>457</v>
      </c>
      <c r="F137" s="7">
        <f t="shared" si="5"/>
        <v>0</v>
      </c>
      <c r="G137" s="32">
        <f t="shared" si="8"/>
        <v>86.330438886477296</v>
      </c>
      <c r="H137" s="32">
        <f t="shared" si="9"/>
        <v>6.7663939856931104E-3</v>
      </c>
      <c r="I137" s="6">
        <f t="shared" si="6"/>
        <v>274.83540893390165</v>
      </c>
      <c r="J137" s="31">
        <f t="shared" si="10"/>
        <v>-159.62420750166427</v>
      </c>
      <c r="K137" s="31">
        <f t="shared" si="11"/>
        <v>5.62454959105003E-2</v>
      </c>
      <c r="L137" s="31">
        <f t="shared" si="12"/>
        <v>0.43629800402571201</v>
      </c>
      <c r="M137" s="6">
        <f t="shared" si="7"/>
        <v>1606.7072509087141</v>
      </c>
      <c r="N137"/>
      <c r="O137"/>
      <c r="P137"/>
      <c r="Q137"/>
      <c r="R137"/>
      <c r="S137"/>
      <c r="T137"/>
    </row>
    <row r="138" spans="2:20" x14ac:dyDescent="0.25">
      <c r="B138" s="65"/>
      <c r="C138" s="5" t="s">
        <v>15</v>
      </c>
      <c r="D138" s="6">
        <f t="shared" si="5"/>
        <v>37367</v>
      </c>
      <c r="E138" s="7">
        <f t="shared" si="5"/>
        <v>327</v>
      </c>
      <c r="F138" s="7">
        <f t="shared" si="5"/>
        <v>0</v>
      </c>
      <c r="G138" s="32">
        <f t="shared" si="8"/>
        <v>86.330438886477296</v>
      </c>
      <c r="H138" s="32">
        <f t="shared" si="9"/>
        <v>6.7663939856931104E-3</v>
      </c>
      <c r="I138" s="6">
        <f t="shared" si="6"/>
        <v>339.17028294987176</v>
      </c>
      <c r="J138" s="31">
        <f t="shared" si="10"/>
        <v>-159.62420750166427</v>
      </c>
      <c r="K138" s="31">
        <f t="shared" si="11"/>
        <v>5.62454959105003E-2</v>
      </c>
      <c r="L138" s="31">
        <f t="shared" si="12"/>
        <v>0.43629800402571201</v>
      </c>
      <c r="M138" s="6">
        <f t="shared" si="7"/>
        <v>2084.7706855024085</v>
      </c>
      <c r="N138"/>
      <c r="O138"/>
      <c r="P138"/>
      <c r="Q138"/>
      <c r="R138"/>
      <c r="S138"/>
      <c r="T138"/>
    </row>
    <row r="139" spans="2:20" x14ac:dyDescent="0.25">
      <c r="B139" s="65"/>
      <c r="C139" s="5" t="s">
        <v>16</v>
      </c>
      <c r="D139" s="6">
        <f t="shared" si="5"/>
        <v>38904</v>
      </c>
      <c r="E139" s="7">
        <f t="shared" si="5"/>
        <v>303</v>
      </c>
      <c r="F139" s="7">
        <f t="shared" si="5"/>
        <v>0</v>
      </c>
      <c r="G139" s="32">
        <f t="shared" si="8"/>
        <v>86.330438886477296</v>
      </c>
      <c r="H139" s="32">
        <f t="shared" si="9"/>
        <v>6.7663939856931104E-3</v>
      </c>
      <c r="I139" s="6">
        <f t="shared" si="6"/>
        <v>349.57023050588202</v>
      </c>
      <c r="J139" s="31">
        <f t="shared" si="10"/>
        <v>-159.62420750166427</v>
      </c>
      <c r="K139" s="31">
        <f t="shared" si="11"/>
        <v>5.62454959105003E-2</v>
      </c>
      <c r="L139" s="31">
        <f t="shared" si="12"/>
        <v>0.43629800402571201</v>
      </c>
      <c r="M139" s="6">
        <f t="shared" si="7"/>
        <v>2160.7488606202301</v>
      </c>
      <c r="N139"/>
      <c r="O139"/>
      <c r="P139"/>
      <c r="Q139"/>
      <c r="R139"/>
      <c r="S139"/>
      <c r="T139"/>
    </row>
    <row r="140" spans="2:20" x14ac:dyDescent="0.25">
      <c r="B140" s="65"/>
      <c r="C140" s="5" t="s">
        <v>17</v>
      </c>
      <c r="D140" s="6">
        <f t="shared" si="5"/>
        <v>38237</v>
      </c>
      <c r="E140" s="7">
        <f t="shared" si="5"/>
        <v>147</v>
      </c>
      <c r="F140" s="7">
        <f t="shared" si="5"/>
        <v>0</v>
      </c>
      <c r="G140" s="32">
        <f t="shared" si="8"/>
        <v>86.330438886477296</v>
      </c>
      <c r="H140" s="32">
        <f t="shared" si="9"/>
        <v>6.7663939856931104E-3</v>
      </c>
      <c r="I140" s="6">
        <f t="shared" si="6"/>
        <v>345.05704571742473</v>
      </c>
      <c r="J140" s="31">
        <f t="shared" si="10"/>
        <v>-159.62420750166427</v>
      </c>
      <c r="K140" s="31">
        <f t="shared" si="11"/>
        <v>5.62454959105003E-2</v>
      </c>
      <c r="L140" s="31">
        <f t="shared" si="12"/>
        <v>0.43629800402571201</v>
      </c>
      <c r="M140" s="6">
        <f t="shared" si="7"/>
        <v>2055.1706262199154</v>
      </c>
      <c r="N140"/>
      <c r="O140"/>
      <c r="P140"/>
      <c r="Q140"/>
      <c r="R140"/>
      <c r="S140"/>
      <c r="T140"/>
    </row>
    <row r="141" spans="2:20" x14ac:dyDescent="0.25">
      <c r="B141" s="65"/>
      <c r="C141" s="5" t="s">
        <v>18</v>
      </c>
      <c r="D141" s="6">
        <f t="shared" ref="D141:F156" si="13">+D22</f>
        <v>46394</v>
      </c>
      <c r="E141" s="7">
        <f t="shared" si="13"/>
        <v>14</v>
      </c>
      <c r="F141" s="7">
        <f t="shared" si="13"/>
        <v>2</v>
      </c>
      <c r="G141" s="32">
        <f t="shared" si="8"/>
        <v>86.330438886477296</v>
      </c>
      <c r="H141" s="32">
        <f t="shared" si="9"/>
        <v>6.7663939856931104E-3</v>
      </c>
      <c r="I141" s="6">
        <f t="shared" si="6"/>
        <v>400.25052145872343</v>
      </c>
      <c r="J141" s="31">
        <f t="shared" si="10"/>
        <v>-159.62420750166427</v>
      </c>
      <c r="K141" s="31">
        <f t="shared" si="11"/>
        <v>5.62454959105003E-2</v>
      </c>
      <c r="L141" s="31">
        <f t="shared" si="12"/>
        <v>0.43629800402571201</v>
      </c>
      <c r="M141" s="6">
        <f t="shared" si="7"/>
        <v>2455.9375018264464</v>
      </c>
      <c r="N141"/>
      <c r="O141"/>
      <c r="P141"/>
      <c r="Q141"/>
      <c r="R141"/>
      <c r="S141"/>
      <c r="T141"/>
    </row>
    <row r="142" spans="2:20" x14ac:dyDescent="0.25">
      <c r="B142" s="65"/>
      <c r="C142" s="5" t="s">
        <v>19</v>
      </c>
      <c r="D142" s="6">
        <f t="shared" si="13"/>
        <v>36900</v>
      </c>
      <c r="E142" s="7">
        <f t="shared" si="13"/>
        <v>0</v>
      </c>
      <c r="F142" s="7">
        <f t="shared" si="13"/>
        <v>36</v>
      </c>
      <c r="G142" s="32">
        <f t="shared" si="8"/>
        <v>86.330438886477296</v>
      </c>
      <c r="H142" s="32">
        <f t="shared" si="9"/>
        <v>6.7663939856931104E-3</v>
      </c>
      <c r="I142" s="6">
        <f t="shared" si="6"/>
        <v>336.01037695855308</v>
      </c>
      <c r="J142" s="31">
        <f t="shared" si="10"/>
        <v>-159.62420750166427</v>
      </c>
      <c r="K142" s="31">
        <f t="shared" si="11"/>
        <v>5.62454959105003E-2</v>
      </c>
      <c r="L142" s="31">
        <f t="shared" si="12"/>
        <v>0.43629800402571201</v>
      </c>
      <c r="M142" s="6">
        <f t="shared" si="7"/>
        <v>1915.8345915957966</v>
      </c>
      <c r="N142"/>
      <c r="O142"/>
      <c r="P142"/>
      <c r="Q142"/>
      <c r="R142"/>
      <c r="S142"/>
      <c r="T142"/>
    </row>
    <row r="143" spans="2:20" x14ac:dyDescent="0.25">
      <c r="B143" s="65"/>
      <c r="C143" s="5" t="s">
        <v>20</v>
      </c>
      <c r="D143" s="6">
        <f t="shared" si="13"/>
        <v>40943</v>
      </c>
      <c r="E143" s="7">
        <f t="shared" si="13"/>
        <v>0</v>
      </c>
      <c r="F143" s="7">
        <f t="shared" si="13"/>
        <v>57</v>
      </c>
      <c r="G143" s="32">
        <f t="shared" si="8"/>
        <v>86.330438886477296</v>
      </c>
      <c r="H143" s="32">
        <f t="shared" si="9"/>
        <v>6.7663939856931104E-3</v>
      </c>
      <c r="I143" s="6">
        <f t="shared" si="6"/>
        <v>363.3669078427103</v>
      </c>
      <c r="J143" s="31">
        <f t="shared" si="10"/>
        <v>-159.62420750166427</v>
      </c>
      <c r="K143" s="31">
        <f t="shared" si="11"/>
        <v>5.62454959105003E-2</v>
      </c>
      <c r="L143" s="31">
        <f t="shared" si="12"/>
        <v>0.43629800402571201</v>
      </c>
      <c r="M143" s="6">
        <f t="shared" si="7"/>
        <v>2143.2351315619494</v>
      </c>
      <c r="N143"/>
      <c r="O143"/>
      <c r="P143"/>
      <c r="Q143"/>
      <c r="R143"/>
      <c r="S143"/>
      <c r="T143"/>
    </row>
    <row r="144" spans="2:20" x14ac:dyDescent="0.25">
      <c r="B144" s="65"/>
      <c r="C144" s="5" t="s">
        <v>21</v>
      </c>
      <c r="D144" s="6">
        <f t="shared" si="13"/>
        <v>27550</v>
      </c>
      <c r="E144" s="7">
        <f t="shared" si="13"/>
        <v>0</v>
      </c>
      <c r="F144" s="7">
        <f t="shared" si="13"/>
        <v>68</v>
      </c>
      <c r="G144" s="32">
        <f t="shared" si="8"/>
        <v>86.330438886477296</v>
      </c>
      <c r="H144" s="32">
        <f t="shared" si="9"/>
        <v>6.7663939856931104E-3</v>
      </c>
      <c r="I144" s="6">
        <f t="shared" si="6"/>
        <v>272.7445931923225</v>
      </c>
      <c r="J144" s="31">
        <f t="shared" si="10"/>
        <v>-159.62420750166427</v>
      </c>
      <c r="K144" s="31">
        <f t="shared" si="11"/>
        <v>5.62454959105003E-2</v>
      </c>
      <c r="L144" s="31">
        <f t="shared" si="12"/>
        <v>0.43629800402571201</v>
      </c>
      <c r="M144" s="6">
        <f t="shared" si="7"/>
        <v>1389.939204832619</v>
      </c>
      <c r="N144"/>
      <c r="O144"/>
      <c r="P144"/>
      <c r="Q144"/>
      <c r="R144"/>
      <c r="S144"/>
      <c r="T144"/>
    </row>
    <row r="145" spans="2:20" x14ac:dyDescent="0.25">
      <c r="B145" s="65"/>
      <c r="C145" s="5" t="s">
        <v>22</v>
      </c>
      <c r="D145" s="6">
        <f t="shared" si="13"/>
        <v>39112</v>
      </c>
      <c r="E145" s="7">
        <f t="shared" si="13"/>
        <v>16</v>
      </c>
      <c r="F145" s="7">
        <f t="shared" si="13"/>
        <v>2</v>
      </c>
      <c r="G145" s="32">
        <f t="shared" si="8"/>
        <v>86.330438886477296</v>
      </c>
      <c r="H145" s="32">
        <f t="shared" si="9"/>
        <v>6.7663939856931104E-3</v>
      </c>
      <c r="I145" s="6">
        <f t="shared" si="6"/>
        <v>350.97764045490624</v>
      </c>
      <c r="J145" s="31">
        <f t="shared" si="10"/>
        <v>-159.62420750166427</v>
      </c>
      <c r="K145" s="31">
        <f t="shared" si="11"/>
        <v>5.62454959105003E-2</v>
      </c>
      <c r="L145" s="31">
        <f t="shared" si="12"/>
        <v>0.43629800402571201</v>
      </c>
      <c r="M145" s="6">
        <f t="shared" si="7"/>
        <v>2047.2303966142347</v>
      </c>
      <c r="N145"/>
      <c r="O145"/>
      <c r="P145"/>
      <c r="Q145"/>
      <c r="R145"/>
      <c r="S145"/>
      <c r="T145"/>
    </row>
    <row r="146" spans="2:20" x14ac:dyDescent="0.25">
      <c r="B146" s="65"/>
      <c r="C146" s="5" t="s">
        <v>23</v>
      </c>
      <c r="D146" s="6">
        <f t="shared" si="13"/>
        <v>27292</v>
      </c>
      <c r="E146" s="7">
        <f t="shared" si="13"/>
        <v>188</v>
      </c>
      <c r="F146" s="7">
        <f t="shared" si="13"/>
        <v>0</v>
      </c>
      <c r="G146" s="32">
        <f t="shared" si="8"/>
        <v>86.330438886477296</v>
      </c>
      <c r="H146" s="32">
        <f t="shared" si="9"/>
        <v>6.7663939856931104E-3</v>
      </c>
      <c r="I146" s="6">
        <f t="shared" si="6"/>
        <v>270.99886354401366</v>
      </c>
      <c r="J146" s="31">
        <f t="shared" si="10"/>
        <v>-159.62420750166427</v>
      </c>
      <c r="K146" s="31">
        <f t="shared" si="11"/>
        <v>5.62454959105003E-2</v>
      </c>
      <c r="L146" s="31">
        <f t="shared" si="12"/>
        <v>0.43629800402571201</v>
      </c>
      <c r="M146" s="6">
        <f t="shared" si="7"/>
        <v>1457.4518916445438</v>
      </c>
      <c r="N146"/>
      <c r="O146"/>
      <c r="P146"/>
      <c r="Q146"/>
      <c r="R146"/>
      <c r="S146"/>
      <c r="T146"/>
    </row>
    <row r="147" spans="2:20" x14ac:dyDescent="0.25">
      <c r="B147" s="65"/>
      <c r="C147" s="5" t="s">
        <v>24</v>
      </c>
      <c r="D147" s="6">
        <f t="shared" si="13"/>
        <v>34161</v>
      </c>
      <c r="E147" s="7">
        <f t="shared" si="13"/>
        <v>287</v>
      </c>
      <c r="F147" s="7">
        <f t="shared" si="13"/>
        <v>0</v>
      </c>
      <c r="G147" s="32">
        <f t="shared" si="8"/>
        <v>86.330438886477296</v>
      </c>
      <c r="H147" s="32">
        <f t="shared" si="9"/>
        <v>6.7663939856931104E-3</v>
      </c>
      <c r="I147" s="6">
        <f t="shared" si="6"/>
        <v>317.47722383173965</v>
      </c>
      <c r="J147" s="31">
        <f t="shared" si="10"/>
        <v>-159.62420750166427</v>
      </c>
      <c r="K147" s="31">
        <f t="shared" si="11"/>
        <v>5.62454959105003E-2</v>
      </c>
      <c r="L147" s="31">
        <f t="shared" si="12"/>
        <v>0.43629800402571201</v>
      </c>
      <c r="M147" s="6">
        <f t="shared" si="7"/>
        <v>1886.9957054523156</v>
      </c>
      <c r="N147"/>
      <c r="O147"/>
      <c r="P147"/>
      <c r="Q147"/>
      <c r="R147"/>
      <c r="S147"/>
      <c r="T147"/>
    </row>
    <row r="148" spans="2:20" x14ac:dyDescent="0.25">
      <c r="B148" s="65"/>
      <c r="C148" s="5" t="s">
        <v>25</v>
      </c>
      <c r="D148" s="6">
        <f t="shared" si="13"/>
        <v>18934</v>
      </c>
      <c r="E148" s="7">
        <f t="shared" si="13"/>
        <v>588</v>
      </c>
      <c r="F148" s="7">
        <f t="shared" si="13"/>
        <v>0</v>
      </c>
      <c r="G148" s="32">
        <f t="shared" si="8"/>
        <v>86.330438886477296</v>
      </c>
      <c r="H148" s="32">
        <f t="shared" si="9"/>
        <v>6.7663939856931104E-3</v>
      </c>
      <c r="I148" s="6">
        <f t="shared" si="6"/>
        <v>214.44534261159066</v>
      </c>
      <c r="J148" s="31">
        <f t="shared" si="10"/>
        <v>-159.62420750166427</v>
      </c>
      <c r="K148" s="31">
        <f t="shared" si="11"/>
        <v>5.62454959105003E-2</v>
      </c>
      <c r="L148" s="31">
        <f t="shared" si="12"/>
        <v>0.43629800402571201</v>
      </c>
      <c r="M148" s="6">
        <f t="shared" si="7"/>
        <v>1161.8712384348669</v>
      </c>
      <c r="N148"/>
      <c r="O148"/>
      <c r="P148"/>
      <c r="Q148"/>
      <c r="R148"/>
      <c r="S148"/>
      <c r="T148"/>
    </row>
    <row r="149" spans="2:20" ht="15.75" customHeight="1" x14ac:dyDescent="0.25">
      <c r="B149" s="65">
        <v>2025</v>
      </c>
      <c r="C149" s="5" t="s">
        <v>14</v>
      </c>
      <c r="D149" s="6">
        <f t="shared" si="13"/>
        <v>27023.23</v>
      </c>
      <c r="E149" s="7">
        <f t="shared" si="13"/>
        <v>462</v>
      </c>
      <c r="F149" s="7">
        <f t="shared" si="13"/>
        <v>0</v>
      </c>
      <c r="G149" s="32">
        <f t="shared" si="8"/>
        <v>86.330438886477296</v>
      </c>
      <c r="H149" s="32">
        <f t="shared" si="9"/>
        <v>6.7663939856931104E-3</v>
      </c>
      <c r="I149" s="6">
        <f>+G149+H149*D149</f>
        <v>269.1802598324789</v>
      </c>
      <c r="J149" s="31">
        <f t="shared" si="10"/>
        <v>-159.62420750166427</v>
      </c>
      <c r="K149" s="31">
        <f t="shared" si="11"/>
        <v>5.62454959105003E-2</v>
      </c>
      <c r="L149" s="31">
        <f t="shared" si="12"/>
        <v>0.43629800402571201</v>
      </c>
      <c r="M149" s="6">
        <f t="shared" si="7"/>
        <v>1561.8804428117237</v>
      </c>
      <c r="N149"/>
      <c r="O149"/>
      <c r="P149"/>
      <c r="Q149"/>
      <c r="R149"/>
      <c r="S149"/>
      <c r="T149"/>
    </row>
    <row r="150" spans="2:20" x14ac:dyDescent="0.25">
      <c r="B150" s="65"/>
      <c r="C150" s="5" t="s">
        <v>15</v>
      </c>
      <c r="D150" s="6">
        <f t="shared" si="13"/>
        <v>36245.99</v>
      </c>
      <c r="E150" s="7">
        <f t="shared" si="13"/>
        <v>339</v>
      </c>
      <c r="F150" s="7">
        <f t="shared" si="13"/>
        <v>0</v>
      </c>
      <c r="G150" s="32">
        <f t="shared" si="8"/>
        <v>86.330438886477296</v>
      </c>
      <c r="H150" s="32">
        <f t="shared" si="9"/>
        <v>6.7663939856931104E-3</v>
      </c>
      <c r="I150" s="6">
        <f t="shared" ref="I150:I160" si="14">+G150+H150*D150</f>
        <v>331.58508762796993</v>
      </c>
      <c r="J150" s="31">
        <f t="shared" si="10"/>
        <v>-159.62420750166427</v>
      </c>
      <c r="K150" s="31">
        <f t="shared" si="11"/>
        <v>5.62454959105003E-2</v>
      </c>
      <c r="L150" s="31">
        <f t="shared" si="12"/>
        <v>0.43629800402571201</v>
      </c>
      <c r="M150" s="6">
        <f t="shared" si="7"/>
        <v>2026.9544981800868</v>
      </c>
      <c r="N150"/>
      <c r="O150"/>
      <c r="P150"/>
      <c r="Q150"/>
      <c r="R150"/>
      <c r="S150"/>
      <c r="T150"/>
    </row>
    <row r="151" spans="2:20" x14ac:dyDescent="0.25">
      <c r="B151" s="65"/>
      <c r="C151" s="5" t="s">
        <v>16</v>
      </c>
      <c r="D151" s="6">
        <f t="shared" si="13"/>
        <v>37736.879999999997</v>
      </c>
      <c r="E151" s="7">
        <f t="shared" si="13"/>
        <v>305</v>
      </c>
      <c r="F151" s="7">
        <f t="shared" si="13"/>
        <v>0</v>
      </c>
      <c r="G151" s="32">
        <f t="shared" si="8"/>
        <v>86.330438886477296</v>
      </c>
      <c r="H151" s="32">
        <f t="shared" si="9"/>
        <v>6.7663939856931104E-3</v>
      </c>
      <c r="I151" s="6">
        <f t="shared" si="14"/>
        <v>341.67303675729988</v>
      </c>
      <c r="J151" s="31">
        <f t="shared" si="10"/>
        <v>-159.62420750166427</v>
      </c>
      <c r="K151" s="31">
        <f t="shared" si="11"/>
        <v>5.62454959105003E-2</v>
      </c>
      <c r="L151" s="31">
        <f t="shared" si="12"/>
        <v>0.43629800402571201</v>
      </c>
      <c r="M151" s="6">
        <f t="shared" si="7"/>
        <v>2095.9762134412185</v>
      </c>
      <c r="N151"/>
      <c r="O151"/>
      <c r="P151"/>
      <c r="Q151"/>
      <c r="R151"/>
      <c r="S151"/>
      <c r="T151"/>
    </row>
    <row r="152" spans="2:20" x14ac:dyDescent="0.25">
      <c r="B152" s="65"/>
      <c r="C152" s="5" t="s">
        <v>17</v>
      </c>
      <c r="D152" s="6">
        <f t="shared" si="13"/>
        <v>37089.89</v>
      </c>
      <c r="E152" s="7">
        <f t="shared" si="13"/>
        <v>129</v>
      </c>
      <c r="F152" s="7">
        <f t="shared" si="13"/>
        <v>0</v>
      </c>
      <c r="G152" s="32">
        <f t="shared" si="8"/>
        <v>86.330438886477296</v>
      </c>
      <c r="H152" s="32">
        <f t="shared" si="9"/>
        <v>6.7663939856931104E-3</v>
      </c>
      <c r="I152" s="6">
        <f t="shared" si="14"/>
        <v>337.2952475124963</v>
      </c>
      <c r="J152" s="31">
        <f t="shared" si="10"/>
        <v>-159.62420750166427</v>
      </c>
      <c r="K152" s="31">
        <f t="shared" si="11"/>
        <v>5.62454959105003E-2</v>
      </c>
      <c r="L152" s="31">
        <f t="shared" si="12"/>
        <v>0.43629800402571201</v>
      </c>
      <c r="M152" s="6">
        <f t="shared" si="7"/>
        <v>1982.7974913335586</v>
      </c>
      <c r="N152"/>
      <c r="O152"/>
      <c r="P152"/>
      <c r="Q152"/>
      <c r="R152"/>
      <c r="S152"/>
      <c r="T152"/>
    </row>
    <row r="153" spans="2:20" x14ac:dyDescent="0.25">
      <c r="B153" s="65"/>
      <c r="C153" s="5" t="s">
        <v>18</v>
      </c>
      <c r="D153" s="6">
        <f t="shared" si="13"/>
        <v>45002.18</v>
      </c>
      <c r="E153" s="7">
        <f t="shared" si="13"/>
        <v>51</v>
      </c>
      <c r="F153" s="7">
        <f t="shared" si="13"/>
        <v>0</v>
      </c>
      <c r="G153" s="32">
        <f t="shared" si="8"/>
        <v>86.330438886477296</v>
      </c>
      <c r="H153" s="32">
        <f t="shared" si="9"/>
        <v>6.7663939856931104E-3</v>
      </c>
      <c r="I153" s="6">
        <f t="shared" si="14"/>
        <v>390.83291898155608</v>
      </c>
      <c r="J153" s="31">
        <f t="shared" si="10"/>
        <v>-159.62420750166427</v>
      </c>
      <c r="K153" s="31">
        <f t="shared" si="11"/>
        <v>5.62454959105003E-2</v>
      </c>
      <c r="L153" s="31">
        <f t="shared" si="12"/>
        <v>0.43629800402571201</v>
      </c>
      <c r="M153" s="6">
        <f t="shared" si="7"/>
        <v>2393.7969218572453</v>
      </c>
      <c r="N153"/>
      <c r="O153"/>
      <c r="P153"/>
      <c r="Q153"/>
      <c r="R153"/>
      <c r="S153"/>
      <c r="T153"/>
    </row>
    <row r="154" spans="2:20" x14ac:dyDescent="0.25">
      <c r="B154" s="65"/>
      <c r="C154" s="5" t="s">
        <v>19</v>
      </c>
      <c r="D154" s="6">
        <f t="shared" si="13"/>
        <v>35793</v>
      </c>
      <c r="E154" s="7">
        <f t="shared" si="13"/>
        <v>11</v>
      </c>
      <c r="F154" s="7">
        <f t="shared" si="13"/>
        <v>11</v>
      </c>
      <c r="G154" s="32">
        <f t="shared" si="8"/>
        <v>86.330438886477296</v>
      </c>
      <c r="H154" s="32">
        <f t="shared" si="9"/>
        <v>6.7663939856931104E-3</v>
      </c>
      <c r="I154" s="6">
        <f t="shared" si="14"/>
        <v>328.51997881639079</v>
      </c>
      <c r="J154" s="31">
        <f t="shared" si="10"/>
        <v>-159.62420750166427</v>
      </c>
      <c r="K154" s="31">
        <f t="shared" si="11"/>
        <v>5.62454959105003E-2</v>
      </c>
      <c r="L154" s="31">
        <f t="shared" si="12"/>
        <v>0.43629800402571201</v>
      </c>
      <c r="M154" s="6">
        <f t="shared" si="7"/>
        <v>1858.3701056671557</v>
      </c>
      <c r="N154"/>
      <c r="O154"/>
      <c r="P154"/>
      <c r="Q154"/>
      <c r="R154"/>
      <c r="S154"/>
      <c r="T154"/>
    </row>
    <row r="155" spans="2:20" x14ac:dyDescent="0.25">
      <c r="B155" s="65"/>
      <c r="C155" s="5" t="s">
        <v>20</v>
      </c>
      <c r="D155" s="6">
        <f t="shared" si="13"/>
        <v>39714.71</v>
      </c>
      <c r="E155" s="7">
        <f t="shared" si="13"/>
        <v>0</v>
      </c>
      <c r="F155" s="7">
        <f t="shared" si="13"/>
        <v>112</v>
      </c>
      <c r="G155" s="32">
        <f t="shared" si="8"/>
        <v>86.330438886477296</v>
      </c>
      <c r="H155" s="32">
        <f t="shared" si="9"/>
        <v>6.7663939856931104E-3</v>
      </c>
      <c r="I155" s="6">
        <f t="shared" si="14"/>
        <v>355.05581377402331</v>
      </c>
      <c r="J155" s="31">
        <f t="shared" si="10"/>
        <v>-159.62420750166427</v>
      </c>
      <c r="K155" s="31">
        <f t="shared" si="11"/>
        <v>5.62454959105003E-2</v>
      </c>
      <c r="L155" s="31">
        <f t="shared" si="12"/>
        <v>0.43629800402571201</v>
      </c>
      <c r="M155" s="6">
        <f t="shared" si="7"/>
        <v>2074.1493513900409</v>
      </c>
      <c r="N155"/>
      <c r="O155"/>
      <c r="P155"/>
      <c r="Q155"/>
      <c r="R155"/>
      <c r="S155"/>
      <c r="T155"/>
    </row>
    <row r="156" spans="2:20" x14ac:dyDescent="0.25">
      <c r="B156" s="65"/>
      <c r="C156" s="5" t="s">
        <v>21</v>
      </c>
      <c r="D156" s="6">
        <f t="shared" si="13"/>
        <v>26723.5</v>
      </c>
      <c r="E156" s="7">
        <f t="shared" si="13"/>
        <v>0</v>
      </c>
      <c r="F156" s="7">
        <f t="shared" si="13"/>
        <v>113</v>
      </c>
      <c r="G156" s="32">
        <f t="shared" si="8"/>
        <v>86.330438886477296</v>
      </c>
      <c r="H156" s="32">
        <f t="shared" si="9"/>
        <v>6.7663939856931104E-3</v>
      </c>
      <c r="I156" s="6">
        <f t="shared" si="14"/>
        <v>267.15216856314714</v>
      </c>
      <c r="J156" s="31">
        <f t="shared" si="10"/>
        <v>-159.62420750166427</v>
      </c>
      <c r="K156" s="31">
        <f t="shared" si="11"/>
        <v>5.62454959105003E-2</v>
      </c>
      <c r="L156" s="31">
        <f t="shared" si="12"/>
        <v>0.43629800402571201</v>
      </c>
      <c r="M156" s="6">
        <f t="shared" si="7"/>
        <v>1343.4523024625905</v>
      </c>
      <c r="N156"/>
      <c r="O156"/>
      <c r="P156"/>
      <c r="Q156"/>
      <c r="R156"/>
      <c r="S156"/>
      <c r="T156"/>
    </row>
    <row r="157" spans="2:20" x14ac:dyDescent="0.25">
      <c r="B157" s="65"/>
      <c r="C157" s="5" t="s">
        <v>22</v>
      </c>
      <c r="D157" s="6">
        <f t="shared" ref="D157:F160" si="15">+D38</f>
        <v>37938.639999999999</v>
      </c>
      <c r="E157" s="7">
        <f t="shared" si="15"/>
        <v>28</v>
      </c>
      <c r="F157" s="7">
        <f t="shared" si="15"/>
        <v>28</v>
      </c>
      <c r="G157" s="32">
        <f t="shared" si="8"/>
        <v>86.330438886477296</v>
      </c>
      <c r="H157" s="32">
        <f t="shared" si="9"/>
        <v>6.7663939856931104E-3</v>
      </c>
      <c r="I157" s="6">
        <f t="shared" si="14"/>
        <v>343.03822440785336</v>
      </c>
      <c r="J157" s="31">
        <f t="shared" si="10"/>
        <v>-159.62420750166427</v>
      </c>
      <c r="K157" s="31">
        <f t="shared" si="11"/>
        <v>5.62454959105003E-2</v>
      </c>
      <c r="L157" s="31">
        <f t="shared" si="12"/>
        <v>0.43629800402571201</v>
      </c>
      <c r="M157" s="6">
        <f t="shared" si="7"/>
        <v>1986.4697575809987</v>
      </c>
      <c r="N157"/>
      <c r="O157"/>
      <c r="P157"/>
      <c r="Q157"/>
      <c r="R157"/>
      <c r="S157"/>
      <c r="T157"/>
    </row>
    <row r="158" spans="2:20" x14ac:dyDescent="0.25">
      <c r="B158" s="65"/>
      <c r="C158" s="5" t="s">
        <v>23</v>
      </c>
      <c r="D158" s="6">
        <f t="shared" si="15"/>
        <v>26473.239999999998</v>
      </c>
      <c r="E158" s="7">
        <f t="shared" si="15"/>
        <v>133</v>
      </c>
      <c r="F158" s="7">
        <f t="shared" si="15"/>
        <v>0</v>
      </c>
      <c r="G158" s="32">
        <f t="shared" si="8"/>
        <v>86.330438886477296</v>
      </c>
      <c r="H158" s="32">
        <f t="shared" si="9"/>
        <v>6.7663939856931104E-3</v>
      </c>
      <c r="I158" s="6">
        <f t="shared" si="14"/>
        <v>265.45881080428757</v>
      </c>
      <c r="J158" s="31">
        <f t="shared" si="10"/>
        <v>-159.62420750166427</v>
      </c>
      <c r="K158" s="31">
        <f t="shared" si="11"/>
        <v>5.62454959105003E-2</v>
      </c>
      <c r="L158" s="31">
        <f t="shared" si="12"/>
        <v>0.43629800402571201</v>
      </c>
      <c r="M158" s="6">
        <f t="shared" si="7"/>
        <v>1387.4039391914482</v>
      </c>
      <c r="N158"/>
      <c r="O158"/>
      <c r="P158"/>
      <c r="Q158"/>
      <c r="R158"/>
      <c r="S158"/>
      <c r="T158"/>
    </row>
    <row r="159" spans="2:20" x14ac:dyDescent="0.25">
      <c r="B159" s="65"/>
      <c r="C159" s="5" t="s">
        <v>24</v>
      </c>
      <c r="D159" s="6">
        <f t="shared" si="15"/>
        <v>33136.17</v>
      </c>
      <c r="E159" s="7">
        <f t="shared" si="15"/>
        <v>312</v>
      </c>
      <c r="F159" s="7">
        <f t="shared" si="15"/>
        <v>0</v>
      </c>
      <c r="G159" s="32">
        <f t="shared" si="8"/>
        <v>86.330438886477296</v>
      </c>
      <c r="H159" s="32">
        <f t="shared" si="9"/>
        <v>6.7663939856931104E-3</v>
      </c>
      <c r="I159" s="6">
        <f t="shared" si="14"/>
        <v>310.54282028338173</v>
      </c>
      <c r="J159" s="31">
        <f t="shared" si="10"/>
        <v>-159.62420750166427</v>
      </c>
      <c r="K159" s="31">
        <f t="shared" si="11"/>
        <v>5.62454959105003E-2</v>
      </c>
      <c r="L159" s="31">
        <f t="shared" si="12"/>
        <v>0.43629800402571201</v>
      </c>
      <c r="M159" s="6">
        <f t="shared" si="7"/>
        <v>1840.2610839790004</v>
      </c>
      <c r="N159"/>
      <c r="O159"/>
      <c r="P159"/>
      <c r="Q159"/>
      <c r="R159"/>
      <c r="S159"/>
      <c r="T159"/>
    </row>
    <row r="160" spans="2:20" x14ac:dyDescent="0.25">
      <c r="B160" s="65"/>
      <c r="C160" s="5" t="s">
        <v>25</v>
      </c>
      <c r="D160" s="6">
        <f t="shared" si="15"/>
        <v>18365.98</v>
      </c>
      <c r="E160" s="7">
        <f t="shared" si="15"/>
        <v>380</v>
      </c>
      <c r="F160" s="7">
        <f t="shared" si="15"/>
        <v>0</v>
      </c>
      <c r="G160" s="32">
        <f t="shared" si="8"/>
        <v>86.330438886477296</v>
      </c>
      <c r="H160" s="32">
        <f t="shared" si="9"/>
        <v>6.7663939856931104E-3</v>
      </c>
      <c r="I160" s="6">
        <f t="shared" si="14"/>
        <v>210.60189549983724</v>
      </c>
      <c r="J160" s="31">
        <f t="shared" si="10"/>
        <v>-159.62420750166427</v>
      </c>
      <c r="K160" s="31">
        <f t="shared" si="11"/>
        <v>5.62454959105003E-2</v>
      </c>
      <c r="L160" s="31">
        <f t="shared" si="12"/>
        <v>0.43629800402571201</v>
      </c>
      <c r="M160" s="6">
        <f>+J160+K160*D160+L160*E160</f>
        <v>1039.1726870104367</v>
      </c>
      <c r="N160"/>
      <c r="O160"/>
      <c r="P160"/>
      <c r="Q160"/>
      <c r="R160"/>
      <c r="S160"/>
      <c r="T160"/>
    </row>
    <row r="161" spans="2:20" x14ac:dyDescent="0.25">
      <c r="G161" s="13"/>
      <c r="H161" s="33" t="s">
        <v>26</v>
      </c>
      <c r="I161" s="34">
        <f>SUM(I125:I160)</f>
        <v>11048.065690919995</v>
      </c>
      <c r="L161" s="33" t="s">
        <v>26</v>
      </c>
      <c r="M161" s="35">
        <f>SUM(M125:M160)</f>
        <v>63265.593553953477</v>
      </c>
      <c r="N161"/>
      <c r="O161"/>
      <c r="P161"/>
      <c r="Q161"/>
      <c r="R161"/>
      <c r="S161"/>
      <c r="T161"/>
    </row>
    <row r="162" spans="2:20" x14ac:dyDescent="0.25">
      <c r="N162"/>
      <c r="O162"/>
      <c r="P162"/>
      <c r="Q162"/>
      <c r="R162"/>
      <c r="S162"/>
      <c r="T162"/>
    </row>
    <row r="163" spans="2:20" x14ac:dyDescent="0.25">
      <c r="H163" s="10" t="s">
        <v>71</v>
      </c>
      <c r="I163" s="36">
        <f>+I161-I42</f>
        <v>0</v>
      </c>
      <c r="J163" s="37"/>
      <c r="K163" s="37"/>
      <c r="L163" s="10" t="s">
        <v>71</v>
      </c>
      <c r="M163" s="36">
        <f>+M161-J42</f>
        <v>0</v>
      </c>
      <c r="N163"/>
      <c r="O163"/>
      <c r="P163"/>
      <c r="Q163"/>
      <c r="R163"/>
      <c r="S163"/>
      <c r="T163"/>
    </row>
    <row r="164" spans="2:20" x14ac:dyDescent="0.25">
      <c r="O164"/>
      <c r="P164"/>
      <c r="Q164"/>
      <c r="R164"/>
      <c r="S164"/>
      <c r="T164"/>
    </row>
    <row r="165" spans="2:20" x14ac:dyDescent="0.25"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</row>
    <row r="166" spans="2:20" x14ac:dyDescent="0.25">
      <c r="C166"/>
      <c r="D166" s="63" t="s">
        <v>88</v>
      </c>
      <c r="E166" s="63"/>
      <c r="F166" s="63"/>
      <c r="G166" s="63"/>
      <c r="H166" s="63"/>
      <c r="I166"/>
      <c r="J166" s="63" t="s">
        <v>89</v>
      </c>
      <c r="K166" s="63"/>
      <c r="L166" s="63"/>
      <c r="M166" s="63"/>
      <c r="N166" s="63"/>
      <c r="O166" s="63"/>
      <c r="P166"/>
      <c r="Q166"/>
      <c r="R166"/>
      <c r="S166"/>
      <c r="T166"/>
    </row>
    <row r="167" spans="2:20" x14ac:dyDescent="0.25"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</row>
    <row r="168" spans="2:20" x14ac:dyDescent="0.25">
      <c r="B168" s="63" t="s">
        <v>72</v>
      </c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</row>
    <row r="169" spans="2:20" x14ac:dyDescent="0.25">
      <c r="J169" s="63" t="s">
        <v>67</v>
      </c>
      <c r="K169" s="63"/>
      <c r="L169" s="63"/>
      <c r="M169" s="2"/>
      <c r="O169" s="63" t="s">
        <v>67</v>
      </c>
      <c r="P169" s="63"/>
      <c r="Q169" s="63"/>
      <c r="R169" s="63"/>
    </row>
    <row r="170" spans="2:20" ht="71.25" customHeight="1" x14ac:dyDescent="0.25">
      <c r="B170" s="64" t="s">
        <v>1</v>
      </c>
      <c r="C170" s="64" t="s">
        <v>2</v>
      </c>
      <c r="D170" s="58" t="s">
        <v>3</v>
      </c>
      <c r="E170" s="58" t="s">
        <v>4</v>
      </c>
      <c r="F170" s="58" t="s">
        <v>5</v>
      </c>
      <c r="G170" s="59" t="s">
        <v>6</v>
      </c>
      <c r="H170" s="59" t="s">
        <v>7</v>
      </c>
      <c r="I170" s="58" t="s">
        <v>73</v>
      </c>
      <c r="J170" s="58" t="s">
        <v>68</v>
      </c>
      <c r="K170" s="58" t="s">
        <v>69</v>
      </c>
      <c r="L170" s="58" t="s">
        <v>8</v>
      </c>
      <c r="M170" s="58" t="s">
        <v>51</v>
      </c>
      <c r="N170" s="58" t="s">
        <v>74</v>
      </c>
      <c r="O170" s="58" t="s">
        <v>68</v>
      </c>
      <c r="P170" s="58" t="s">
        <v>69</v>
      </c>
      <c r="Q170" s="58" t="s">
        <v>70</v>
      </c>
      <c r="R170" s="58" t="s">
        <v>9</v>
      </c>
      <c r="S170" s="58" t="s">
        <v>51</v>
      </c>
      <c r="T170" s="58" t="s">
        <v>75</v>
      </c>
    </row>
    <row r="171" spans="2:20" ht="14.25" customHeight="1" x14ac:dyDescent="0.25">
      <c r="B171" s="64"/>
      <c r="C171" s="64"/>
      <c r="D171" s="58" t="s">
        <v>10</v>
      </c>
      <c r="E171" s="58" t="s">
        <v>11</v>
      </c>
      <c r="F171" s="58" t="s">
        <v>12</v>
      </c>
      <c r="G171" s="59" t="s">
        <v>13</v>
      </c>
      <c r="H171" s="59" t="s">
        <v>13</v>
      </c>
      <c r="I171" s="58" t="s">
        <v>87</v>
      </c>
      <c r="J171" s="60"/>
      <c r="K171" s="60"/>
      <c r="L171" s="58" t="s">
        <v>87</v>
      </c>
      <c r="M171" s="58" t="s">
        <v>87</v>
      </c>
      <c r="N171" s="58" t="s">
        <v>87</v>
      </c>
      <c r="O171" s="60"/>
      <c r="P171" s="60"/>
      <c r="Q171" s="60"/>
      <c r="R171" s="58" t="s">
        <v>87</v>
      </c>
      <c r="S171" s="58" t="s">
        <v>87</v>
      </c>
      <c r="T171" s="58" t="s">
        <v>31</v>
      </c>
    </row>
    <row r="172" spans="2:20" s="57" customFormat="1" ht="13.5" customHeight="1" x14ac:dyDescent="0.25">
      <c r="B172" s="65">
        <v>2026</v>
      </c>
      <c r="C172" s="53" t="s">
        <v>14</v>
      </c>
      <c r="D172" s="42">
        <v>27055</v>
      </c>
      <c r="E172" s="41">
        <v>526</v>
      </c>
      <c r="F172" s="41">
        <v>0</v>
      </c>
      <c r="G172" s="48">
        <v>416161</v>
      </c>
      <c r="H172" s="48">
        <v>6195514.2441860503</v>
      </c>
      <c r="I172" s="43">
        <f t="shared" ref="I172:I183" si="16">+G172*0.478/1000</f>
        <v>198.92495799999998</v>
      </c>
      <c r="J172" s="52">
        <f>$D$115</f>
        <v>86.330438886477296</v>
      </c>
      <c r="K172" s="44">
        <f>+$D$116</f>
        <v>6.7663939856931104E-3</v>
      </c>
      <c r="L172" s="42">
        <f t="shared" ref="L172:L183" si="17">+J172+K172*D172</f>
        <v>269.39522816940439</v>
      </c>
      <c r="M172" s="42">
        <f>+I172-L172</f>
        <v>-70.470270169404415</v>
      </c>
      <c r="N172" s="43">
        <f>+H172*0.234/1000</f>
        <v>1449.7503331395358</v>
      </c>
      <c r="O172" s="51">
        <f>+$N$93</f>
        <v>-159.62420750166427</v>
      </c>
      <c r="P172" s="55">
        <f>+$N$94</f>
        <v>5.62454959105003E-2</v>
      </c>
      <c r="Q172" s="56">
        <f>+$N$95</f>
        <v>0.43629800402571201</v>
      </c>
      <c r="R172" s="42">
        <f>+O172+P172*D172+Q172*E172</f>
        <v>1591.5904344744461</v>
      </c>
      <c r="S172" s="42">
        <f>+N172-R172</f>
        <v>-141.84010133491029</v>
      </c>
      <c r="T172" s="66">
        <f>+M184+S184</f>
        <v>-3210.5080423781837</v>
      </c>
    </row>
    <row r="173" spans="2:20" s="57" customFormat="1" ht="13.5" customHeight="1" x14ac:dyDescent="0.25">
      <c r="B173" s="65"/>
      <c r="C173" s="53" t="s">
        <v>15</v>
      </c>
      <c r="D173" s="42">
        <v>30120</v>
      </c>
      <c r="E173" s="41">
        <v>411</v>
      </c>
      <c r="F173" s="41">
        <v>0</v>
      </c>
      <c r="G173" s="48">
        <v>491304</v>
      </c>
      <c r="H173" s="48">
        <v>6739682.55813953</v>
      </c>
      <c r="I173" s="43">
        <f t="shared" si="16"/>
        <v>234.84331199999997</v>
      </c>
      <c r="J173" s="52">
        <f t="shared" ref="J173:J183" si="18">$D$115</f>
        <v>86.330438886477296</v>
      </c>
      <c r="K173" s="44">
        <f t="shared" ref="K173:K183" si="19">+$D$116</f>
        <v>6.7663939856931104E-3</v>
      </c>
      <c r="L173" s="42">
        <f t="shared" si="17"/>
        <v>290.1342257355538</v>
      </c>
      <c r="M173" s="42">
        <f t="shared" ref="M173:M183" si="20">+I173-L173</f>
        <v>-55.290913735553829</v>
      </c>
      <c r="N173" s="43">
        <f t="shared" ref="N173:N183" si="21">+H173*0.234/1000</f>
        <v>1577.0857186046501</v>
      </c>
      <c r="O173" s="51">
        <f t="shared" ref="O173:O183" si="22">+$N$93</f>
        <v>-159.62420750166427</v>
      </c>
      <c r="P173" s="55">
        <f t="shared" ref="P173:P183" si="23">+$N$94</f>
        <v>5.62454959105003E-2</v>
      </c>
      <c r="Q173" s="56">
        <f t="shared" ref="Q173:Q183" si="24">+$N$95</f>
        <v>0.43629800402571201</v>
      </c>
      <c r="R173" s="42">
        <f t="shared" ref="R173:R183" si="25">+O173+P173*D173+Q173*E173</f>
        <v>1713.8086089771725</v>
      </c>
      <c r="S173" s="42">
        <f t="shared" ref="S173:S183" si="26">+N173-R173</f>
        <v>-136.72289037252244</v>
      </c>
      <c r="T173" s="67"/>
    </row>
    <row r="174" spans="2:20" s="57" customFormat="1" ht="13.5" customHeight="1" x14ac:dyDescent="0.25">
      <c r="B174" s="65"/>
      <c r="C174" s="53" t="s">
        <v>16</v>
      </c>
      <c r="D174" s="42">
        <v>38040</v>
      </c>
      <c r="E174" s="41">
        <v>337</v>
      </c>
      <c r="F174" s="41">
        <v>0</v>
      </c>
      <c r="G174" s="48">
        <v>508128</v>
      </c>
      <c r="H174" s="48">
        <v>6946730.2325581396</v>
      </c>
      <c r="I174" s="43">
        <f t="shared" si="16"/>
        <v>242.88518399999998</v>
      </c>
      <c r="J174" s="52">
        <f t="shared" si="18"/>
        <v>86.330438886477296</v>
      </c>
      <c r="K174" s="44">
        <f t="shared" si="19"/>
        <v>6.7663939856931104E-3</v>
      </c>
      <c r="L174" s="42">
        <f t="shared" si="17"/>
        <v>343.72406610224323</v>
      </c>
      <c r="M174" s="42">
        <f t="shared" si="20"/>
        <v>-100.83888210224325</v>
      </c>
      <c r="N174" s="43">
        <f t="shared" si="21"/>
        <v>1625.5348744186047</v>
      </c>
      <c r="O174" s="51">
        <f t="shared" si="22"/>
        <v>-159.62420750166427</v>
      </c>
      <c r="P174" s="55">
        <f t="shared" si="23"/>
        <v>5.62454959105003E-2</v>
      </c>
      <c r="Q174" s="56">
        <f t="shared" si="24"/>
        <v>0.43629800402571201</v>
      </c>
      <c r="R174" s="42">
        <f t="shared" si="25"/>
        <v>2126.986884290432</v>
      </c>
      <c r="S174" s="42">
        <f t="shared" si="26"/>
        <v>-501.45200987182739</v>
      </c>
      <c r="T174" s="67"/>
    </row>
    <row r="175" spans="2:20" s="57" customFormat="1" ht="13.5" customHeight="1" x14ac:dyDescent="0.25">
      <c r="B175" s="65"/>
      <c r="C175" s="53" t="s">
        <v>17</v>
      </c>
      <c r="D175" s="42">
        <v>38500</v>
      </c>
      <c r="E175" s="41">
        <v>259</v>
      </c>
      <c r="F175" s="41">
        <v>0</v>
      </c>
      <c r="G175" s="48">
        <v>508718</v>
      </c>
      <c r="H175" s="48">
        <v>6943948.2558139535</v>
      </c>
      <c r="I175" s="43">
        <f t="shared" si="16"/>
        <v>243.167204</v>
      </c>
      <c r="J175" s="52">
        <f t="shared" si="18"/>
        <v>86.330438886477296</v>
      </c>
      <c r="K175" s="44">
        <f t="shared" si="19"/>
        <v>6.7663939856931104E-3</v>
      </c>
      <c r="L175" s="42">
        <f t="shared" si="17"/>
        <v>346.83660733566205</v>
      </c>
      <c r="M175" s="42">
        <f t="shared" si="20"/>
        <v>-103.66940333566205</v>
      </c>
      <c r="N175" s="43">
        <f t="shared" si="21"/>
        <v>1624.8838918604654</v>
      </c>
      <c r="O175" s="51">
        <f t="shared" si="22"/>
        <v>-159.62420750166427</v>
      </c>
      <c r="P175" s="55">
        <f t="shared" si="23"/>
        <v>5.62454959105003E-2</v>
      </c>
      <c r="Q175" s="56">
        <f t="shared" si="24"/>
        <v>0.43629800402571201</v>
      </c>
      <c r="R175" s="42">
        <f t="shared" si="25"/>
        <v>2118.8285680952563</v>
      </c>
      <c r="S175" s="42">
        <f t="shared" si="26"/>
        <v>-493.9446762347909</v>
      </c>
      <c r="T175" s="67"/>
    </row>
    <row r="176" spans="2:20" s="57" customFormat="1" ht="13.5" customHeight="1" x14ac:dyDescent="0.25">
      <c r="B176" s="65"/>
      <c r="C176" s="53" t="s">
        <v>18</v>
      </c>
      <c r="D176" s="42">
        <v>39514</v>
      </c>
      <c r="E176" s="41">
        <v>56</v>
      </c>
      <c r="F176" s="41">
        <v>5</v>
      </c>
      <c r="G176" s="48">
        <v>510940</v>
      </c>
      <c r="H176" s="48">
        <v>8221614.2441860465</v>
      </c>
      <c r="I176" s="43">
        <f t="shared" si="16"/>
        <v>244.22931999999997</v>
      </c>
      <c r="J176" s="52">
        <f t="shared" si="18"/>
        <v>86.330438886477296</v>
      </c>
      <c r="K176" s="44">
        <f t="shared" si="19"/>
        <v>6.7663939856931104E-3</v>
      </c>
      <c r="L176" s="42">
        <f t="shared" si="17"/>
        <v>353.69773083715484</v>
      </c>
      <c r="M176" s="42">
        <f t="shared" si="20"/>
        <v>-109.46841083715486</v>
      </c>
      <c r="N176" s="43">
        <f t="shared" si="21"/>
        <v>1923.857733139535</v>
      </c>
      <c r="O176" s="51">
        <f t="shared" si="22"/>
        <v>-159.62420750166427</v>
      </c>
      <c r="P176" s="55">
        <f t="shared" si="23"/>
        <v>5.62454959105003E-2</v>
      </c>
      <c r="Q176" s="56">
        <f t="shared" si="24"/>
        <v>0.43629800402571201</v>
      </c>
      <c r="R176" s="42">
        <f t="shared" si="25"/>
        <v>2087.2930061312845</v>
      </c>
      <c r="S176" s="42">
        <f t="shared" si="26"/>
        <v>-163.43527299174957</v>
      </c>
      <c r="T176" s="67"/>
    </row>
    <row r="177" spans="2:20" s="57" customFormat="1" ht="13.5" customHeight="1" x14ac:dyDescent="0.25">
      <c r="B177" s="65"/>
      <c r="C177" s="53" t="s">
        <v>19</v>
      </c>
      <c r="D177" s="42">
        <v>35326</v>
      </c>
      <c r="E177" s="41">
        <v>4</v>
      </c>
      <c r="F177" s="41">
        <v>0</v>
      </c>
      <c r="G177" s="48">
        <v>426751</v>
      </c>
      <c r="H177" s="48">
        <v>7855995.3488372089</v>
      </c>
      <c r="I177" s="43">
        <f t="shared" si="16"/>
        <v>203.98697799999999</v>
      </c>
      <c r="J177" s="52">
        <f t="shared" si="18"/>
        <v>86.330438886477296</v>
      </c>
      <c r="K177" s="44">
        <f t="shared" si="19"/>
        <v>6.7663939856931104E-3</v>
      </c>
      <c r="L177" s="42">
        <f t="shared" si="17"/>
        <v>325.36007282507211</v>
      </c>
      <c r="M177" s="42">
        <f t="shared" si="20"/>
        <v>-121.37309482507212</v>
      </c>
      <c r="N177" s="43">
        <f t="shared" si="21"/>
        <v>1838.3029116279072</v>
      </c>
      <c r="O177" s="51">
        <f t="shared" si="22"/>
        <v>-159.62420750166427</v>
      </c>
      <c r="P177" s="55">
        <f t="shared" si="23"/>
        <v>5.62454959105003E-2</v>
      </c>
      <c r="Q177" s="56">
        <f t="shared" si="24"/>
        <v>0.43629800402571201</v>
      </c>
      <c r="R177" s="42">
        <f t="shared" si="25"/>
        <v>1829.0493730487724</v>
      </c>
      <c r="S177" s="42">
        <f t="shared" si="26"/>
        <v>9.2535385791347835</v>
      </c>
      <c r="T177" s="67"/>
    </row>
    <row r="178" spans="2:20" s="57" customFormat="1" ht="13.5" customHeight="1" x14ac:dyDescent="0.25">
      <c r="B178" s="65"/>
      <c r="C178" s="53" t="s">
        <v>20</v>
      </c>
      <c r="D178" s="42">
        <v>29045</v>
      </c>
      <c r="E178" s="41">
        <v>0</v>
      </c>
      <c r="F178" s="41">
        <v>72</v>
      </c>
      <c r="G178" s="48">
        <v>430344</v>
      </c>
      <c r="H178" s="48">
        <v>6500946.5116279097</v>
      </c>
      <c r="I178" s="43">
        <f t="shared" si="16"/>
        <v>205.704432</v>
      </c>
      <c r="J178" s="52">
        <f t="shared" si="18"/>
        <v>86.330438886477296</v>
      </c>
      <c r="K178" s="44">
        <f t="shared" si="19"/>
        <v>6.7663939856931104E-3</v>
      </c>
      <c r="L178" s="42">
        <f t="shared" si="17"/>
        <v>282.86035220093368</v>
      </c>
      <c r="M178" s="42">
        <f t="shared" si="20"/>
        <v>-77.155920200933679</v>
      </c>
      <c r="N178" s="43">
        <f t="shared" si="21"/>
        <v>1521.221483720931</v>
      </c>
      <c r="O178" s="51">
        <f t="shared" si="22"/>
        <v>-159.62420750166427</v>
      </c>
      <c r="P178" s="55">
        <f t="shared" si="23"/>
        <v>5.62454959105003E-2</v>
      </c>
      <c r="Q178" s="56">
        <f t="shared" si="24"/>
        <v>0.43629800402571201</v>
      </c>
      <c r="R178" s="42">
        <f t="shared" si="25"/>
        <v>1474.0262212188168</v>
      </c>
      <c r="S178" s="42">
        <f t="shared" si="26"/>
        <v>47.195262502114247</v>
      </c>
      <c r="T178" s="67"/>
    </row>
    <row r="179" spans="2:20" s="57" customFormat="1" ht="13.5" customHeight="1" x14ac:dyDescent="0.25">
      <c r="B179" s="65"/>
      <c r="C179" s="53" t="s">
        <v>21</v>
      </c>
      <c r="D179" s="42">
        <v>37552</v>
      </c>
      <c r="E179" s="41">
        <v>0</v>
      </c>
      <c r="F179" s="41">
        <v>86</v>
      </c>
      <c r="G179" s="48">
        <v>506182</v>
      </c>
      <c r="H179" s="48">
        <v>7584023.5465116277</v>
      </c>
      <c r="I179" s="43">
        <f t="shared" si="16"/>
        <v>241.95499599999999</v>
      </c>
      <c r="J179" s="52">
        <f t="shared" si="18"/>
        <v>86.330438886477296</v>
      </c>
      <c r="K179" s="44">
        <f t="shared" si="19"/>
        <v>6.7663939856931104E-3</v>
      </c>
      <c r="L179" s="42">
        <f t="shared" si="17"/>
        <v>340.42206583722498</v>
      </c>
      <c r="M179" s="42">
        <f t="shared" si="20"/>
        <v>-98.467069837224983</v>
      </c>
      <c r="N179" s="43">
        <f t="shared" si="21"/>
        <v>1774.6615098837208</v>
      </c>
      <c r="O179" s="51">
        <f t="shared" si="22"/>
        <v>-159.62420750166427</v>
      </c>
      <c r="P179" s="55">
        <f t="shared" si="23"/>
        <v>5.62454959105003E-2</v>
      </c>
      <c r="Q179" s="56">
        <f t="shared" si="24"/>
        <v>0.43629800402571201</v>
      </c>
      <c r="R179" s="42">
        <f t="shared" si="25"/>
        <v>1952.5066549294429</v>
      </c>
      <c r="S179" s="42">
        <f t="shared" si="26"/>
        <v>-177.84514504572212</v>
      </c>
      <c r="T179" s="67"/>
    </row>
    <row r="180" spans="2:20" s="57" customFormat="1" ht="13.5" customHeight="1" x14ac:dyDescent="0.25">
      <c r="B180" s="65"/>
      <c r="C180" s="53" t="s">
        <v>22</v>
      </c>
      <c r="D180" s="42">
        <v>40526</v>
      </c>
      <c r="E180" s="41">
        <v>0</v>
      </c>
      <c r="F180" s="41">
        <v>48</v>
      </c>
      <c r="G180" s="48">
        <v>580690</v>
      </c>
      <c r="H180" s="48">
        <v>7338720.3488372089</v>
      </c>
      <c r="I180" s="43">
        <f t="shared" si="16"/>
        <v>277.56981999999999</v>
      </c>
      <c r="J180" s="52">
        <f t="shared" si="18"/>
        <v>86.330438886477296</v>
      </c>
      <c r="K180" s="44">
        <f t="shared" si="19"/>
        <v>6.7663939856931104E-3</v>
      </c>
      <c r="L180" s="42">
        <f t="shared" si="17"/>
        <v>360.54532155067625</v>
      </c>
      <c r="M180" s="42">
        <f t="shared" si="20"/>
        <v>-82.975501550676256</v>
      </c>
      <c r="N180" s="43">
        <f t="shared" si="21"/>
        <v>1717.260561627907</v>
      </c>
      <c r="O180" s="51">
        <f t="shared" si="22"/>
        <v>-159.62420750166427</v>
      </c>
      <c r="P180" s="55">
        <f t="shared" si="23"/>
        <v>5.62454959105003E-2</v>
      </c>
      <c r="Q180" s="56">
        <f t="shared" si="24"/>
        <v>0.43629800402571201</v>
      </c>
      <c r="R180" s="42">
        <f t="shared" si="25"/>
        <v>2119.7807597672709</v>
      </c>
      <c r="S180" s="42">
        <f t="shared" si="26"/>
        <v>-402.52019813936386</v>
      </c>
      <c r="T180" s="67"/>
    </row>
    <row r="181" spans="2:20" s="57" customFormat="1" ht="13.5" customHeight="1" x14ac:dyDescent="0.25">
      <c r="B181" s="65"/>
      <c r="C181" s="53" t="s">
        <v>23</v>
      </c>
      <c r="D181" s="42">
        <v>28308</v>
      </c>
      <c r="E181" s="41">
        <v>77</v>
      </c>
      <c r="F181" s="41">
        <v>0</v>
      </c>
      <c r="G181" s="48">
        <v>429083</v>
      </c>
      <c r="H181" s="48">
        <v>7602235.1744186003</v>
      </c>
      <c r="I181" s="43">
        <f t="shared" si="16"/>
        <v>205.101674</v>
      </c>
      <c r="J181" s="52">
        <f t="shared" si="18"/>
        <v>86.330438886477296</v>
      </c>
      <c r="K181" s="44">
        <f t="shared" si="19"/>
        <v>6.7663939856931104E-3</v>
      </c>
      <c r="L181" s="42">
        <f t="shared" si="17"/>
        <v>277.87351983347787</v>
      </c>
      <c r="M181" s="42">
        <f t="shared" si="20"/>
        <v>-72.771845833477869</v>
      </c>
      <c r="N181" s="43">
        <f t="shared" si="21"/>
        <v>1778.9230308139527</v>
      </c>
      <c r="O181" s="51">
        <f t="shared" si="22"/>
        <v>-159.62420750166427</v>
      </c>
      <c r="P181" s="55">
        <f t="shared" si="23"/>
        <v>5.62454959105003E-2</v>
      </c>
      <c r="Q181" s="56">
        <f t="shared" si="24"/>
        <v>0.43629800402571201</v>
      </c>
      <c r="R181" s="42">
        <f t="shared" si="25"/>
        <v>1466.1682370427582</v>
      </c>
      <c r="S181" s="42">
        <f t="shared" si="26"/>
        <v>312.7547937711945</v>
      </c>
      <c r="T181" s="67"/>
    </row>
    <row r="182" spans="2:20" s="57" customFormat="1" ht="13.5" customHeight="1" x14ac:dyDescent="0.25">
      <c r="B182" s="65"/>
      <c r="C182" s="53" t="s">
        <v>24</v>
      </c>
      <c r="D182" s="42">
        <v>34407</v>
      </c>
      <c r="E182" s="41">
        <v>279</v>
      </c>
      <c r="F182" s="41">
        <v>0</v>
      </c>
      <c r="G182" s="48">
        <v>467315</v>
      </c>
      <c r="H182" s="48">
        <v>7480614.8255813997</v>
      </c>
      <c r="I182" s="43">
        <f t="shared" si="16"/>
        <v>223.37656999999999</v>
      </c>
      <c r="J182" s="52">
        <f t="shared" si="18"/>
        <v>86.330438886477296</v>
      </c>
      <c r="K182" s="44">
        <f t="shared" si="19"/>
        <v>6.7663939856931104E-3</v>
      </c>
      <c r="L182" s="42">
        <f t="shared" si="17"/>
        <v>319.14175675222015</v>
      </c>
      <c r="M182" s="42">
        <f t="shared" si="20"/>
        <v>-95.76518675222016</v>
      </c>
      <c r="N182" s="43">
        <f t="shared" si="21"/>
        <v>1750.4638691860478</v>
      </c>
      <c r="O182" s="51">
        <f t="shared" si="22"/>
        <v>-159.62420750166427</v>
      </c>
      <c r="P182" s="55">
        <f t="shared" si="23"/>
        <v>5.62454959105003E-2</v>
      </c>
      <c r="Q182" s="56">
        <f t="shared" si="24"/>
        <v>0.43629800402571201</v>
      </c>
      <c r="R182" s="42">
        <f t="shared" si="25"/>
        <v>1897.341713414093</v>
      </c>
      <c r="S182" s="42">
        <f t="shared" si="26"/>
        <v>-146.87784422804521</v>
      </c>
      <c r="T182" s="67"/>
    </row>
    <row r="183" spans="2:20" s="57" customFormat="1" ht="13.5" customHeight="1" x14ac:dyDescent="0.25">
      <c r="B183" s="65"/>
      <c r="C183" s="53" t="s">
        <v>25</v>
      </c>
      <c r="D183" s="42">
        <v>32027</v>
      </c>
      <c r="E183" s="41">
        <v>554</v>
      </c>
      <c r="F183" s="51">
        <v>0</v>
      </c>
      <c r="G183" s="48">
        <v>436040</v>
      </c>
      <c r="H183" s="48">
        <v>6629243.6046511596</v>
      </c>
      <c r="I183" s="43">
        <f t="shared" si="16"/>
        <v>208.42712</v>
      </c>
      <c r="J183" s="52">
        <f t="shared" si="18"/>
        <v>86.330438886477296</v>
      </c>
      <c r="K183" s="44">
        <f t="shared" si="19"/>
        <v>6.7663939856931104E-3</v>
      </c>
      <c r="L183" s="42">
        <f t="shared" si="17"/>
        <v>303.03773906627055</v>
      </c>
      <c r="M183" s="42">
        <f t="shared" si="20"/>
        <v>-94.610619066270544</v>
      </c>
      <c r="N183" s="43">
        <f t="shared" si="21"/>
        <v>1551.2430034883714</v>
      </c>
      <c r="O183" s="51">
        <f t="shared" si="22"/>
        <v>-159.62420750166427</v>
      </c>
      <c r="P183" s="55">
        <f t="shared" si="23"/>
        <v>5.62454959105003E-2</v>
      </c>
      <c r="Q183" s="56">
        <f t="shared" si="24"/>
        <v>0.43629800402571201</v>
      </c>
      <c r="R183" s="42">
        <f t="shared" si="25"/>
        <v>1883.4593842541733</v>
      </c>
      <c r="S183" s="42">
        <f t="shared" si="26"/>
        <v>-332.21638076580189</v>
      </c>
      <c r="T183" s="67"/>
    </row>
    <row r="184" spans="2:20" x14ac:dyDescent="0.25">
      <c r="D184" s="6">
        <f>SUM(D172:D183)</f>
        <v>410420</v>
      </c>
      <c r="I184" s="6">
        <f>SUM(I172:I183)</f>
        <v>2730.1715679999993</v>
      </c>
      <c r="J184" s="13"/>
      <c r="K184" s="13"/>
      <c r="L184" s="38">
        <f>SUM(L172:L183)</f>
        <v>3813.0286862458947</v>
      </c>
      <c r="M184" s="39">
        <f>SUM(M172:M183)</f>
        <v>-1082.8571182458938</v>
      </c>
      <c r="N184" s="39">
        <f>SUM(N172:N183)</f>
        <v>20133.188921511632</v>
      </c>
      <c r="R184" s="38">
        <f>SUM(R172:R183)</f>
        <v>22260.839845643921</v>
      </c>
      <c r="S184" s="39">
        <f>SUM(S172:S183)</f>
        <v>-2127.6509241322901</v>
      </c>
    </row>
    <row r="185" spans="2:20" ht="21" customHeight="1" x14ac:dyDescent="0.25"/>
    <row r="186" spans="2:20" x14ac:dyDescent="0.25">
      <c r="C186" s="62" t="s">
        <v>83</v>
      </c>
      <c r="D186" s="62"/>
      <c r="E186" s="62"/>
      <c r="F186" s="14">
        <f>+D184</f>
        <v>410420</v>
      </c>
      <c r="G186" s="15" t="s">
        <v>29</v>
      </c>
    </row>
    <row r="187" spans="2:20" s="45" customFormat="1" x14ac:dyDescent="0.25">
      <c r="C187" s="62" t="s">
        <v>80</v>
      </c>
      <c r="D187" s="62"/>
      <c r="E187" s="62"/>
      <c r="F187" s="14">
        <f>+R184+L184</f>
        <v>26073.868531889817</v>
      </c>
      <c r="G187" s="15" t="s">
        <v>31</v>
      </c>
    </row>
    <row r="188" spans="2:20" s="45" customFormat="1" x14ac:dyDescent="0.25">
      <c r="C188" s="62" t="s">
        <v>84</v>
      </c>
      <c r="D188" s="62"/>
      <c r="E188" s="62"/>
      <c r="F188" s="16">
        <f>ROUND(F187/F186,4)</f>
        <v>6.3500000000000001E-2</v>
      </c>
      <c r="G188" s="15" t="s">
        <v>33</v>
      </c>
    </row>
    <row r="189" spans="2:20" x14ac:dyDescent="0.25">
      <c r="C189" s="62" t="s">
        <v>81</v>
      </c>
      <c r="D189" s="62"/>
      <c r="E189" s="62"/>
      <c r="F189" s="14">
        <f>+N184+I184</f>
        <v>22863.36048951163</v>
      </c>
      <c r="G189" s="15" t="s">
        <v>31</v>
      </c>
    </row>
    <row r="190" spans="2:20" x14ac:dyDescent="0.25">
      <c r="C190" s="62" t="s">
        <v>82</v>
      </c>
      <c r="D190" s="62"/>
      <c r="E190" s="62"/>
      <c r="F190" s="16">
        <f>ROUND(F189/F186,4)</f>
        <v>5.57E-2</v>
      </c>
      <c r="G190" s="15" t="s">
        <v>33</v>
      </c>
    </row>
    <row r="191" spans="2:20" s="45" customFormat="1" x14ac:dyDescent="0.25">
      <c r="C191" s="62" t="s">
        <v>75</v>
      </c>
      <c r="D191" s="62"/>
      <c r="E191" s="62"/>
      <c r="F191" s="49">
        <f>+-T172</f>
        <v>3210.5080423781837</v>
      </c>
      <c r="G191" s="46" t="s">
        <v>76</v>
      </c>
    </row>
    <row r="192" spans="2:20" s="45" customFormat="1" x14ac:dyDescent="0.25"/>
    <row r="193" spans="1:8" x14ac:dyDescent="0.25">
      <c r="C193" s="62" t="s">
        <v>85</v>
      </c>
      <c r="D193" s="62"/>
      <c r="E193" s="62"/>
      <c r="F193" s="40">
        <f>+(F188-F190)/F188</f>
        <v>0.12283464566929136</v>
      </c>
      <c r="G193" s="45"/>
      <c r="H193" s="45"/>
    </row>
    <row r="194" spans="1:8" x14ac:dyDescent="0.25">
      <c r="B194" s="45"/>
      <c r="C194" s="45"/>
      <c r="D194" s="45"/>
      <c r="E194" s="45"/>
      <c r="F194" s="45"/>
      <c r="G194" s="45"/>
      <c r="H194" s="45"/>
    </row>
    <row r="195" spans="1:8" x14ac:dyDescent="0.25">
      <c r="B195" s="45"/>
      <c r="C195" s="62" t="s">
        <v>86</v>
      </c>
      <c r="D195" s="62"/>
      <c r="E195" s="62"/>
      <c r="F195" s="50">
        <f>+F193/F52</f>
        <v>1.217105600230999</v>
      </c>
      <c r="G195" s="45"/>
      <c r="H195" s="45"/>
    </row>
    <row r="196" spans="1:8" ht="27.75" customHeight="1" x14ac:dyDescent="0.25">
      <c r="G196" s="45"/>
      <c r="H196" s="45"/>
    </row>
    <row r="197" spans="1:8" x14ac:dyDescent="0.25">
      <c r="A197" s="45"/>
      <c r="B197" s="45"/>
      <c r="C197" s="63" t="s">
        <v>91</v>
      </c>
      <c r="D197" s="63"/>
      <c r="E197" s="63"/>
      <c r="F197" s="63"/>
      <c r="G197" s="63"/>
      <c r="H197" s="45"/>
    </row>
    <row r="198" spans="1:8" x14ac:dyDescent="0.25">
      <c r="A198" s="45"/>
      <c r="B198" s="45"/>
      <c r="C198" s="74"/>
      <c r="D198" s="74"/>
      <c r="E198" s="74"/>
      <c r="F198" s="74"/>
      <c r="G198" s="74"/>
      <c r="H198" s="45"/>
    </row>
    <row r="199" spans="1:8" ht="15.75" customHeight="1" x14ac:dyDescent="0.25">
      <c r="A199" s="45"/>
      <c r="B199" s="45"/>
      <c r="C199" s="73" t="s">
        <v>32</v>
      </c>
      <c r="D199" s="73"/>
      <c r="E199" s="73"/>
      <c r="F199" s="61">
        <f>+F47</f>
        <v>6.3328052657775011E-2</v>
      </c>
      <c r="G199" s="61" t="s">
        <v>33</v>
      </c>
      <c r="H199" s="45"/>
    </row>
    <row r="200" spans="1:8" x14ac:dyDescent="0.25">
      <c r="A200" s="45"/>
      <c r="B200" s="45"/>
      <c r="C200" s="73" t="s">
        <v>77</v>
      </c>
      <c r="D200" s="73"/>
      <c r="E200" s="73"/>
      <c r="F200" s="61">
        <f>+F51</f>
        <v>5.6936759324092513E-2</v>
      </c>
      <c r="G200" s="47" t="s">
        <v>33</v>
      </c>
      <c r="H200" s="45"/>
    </row>
    <row r="201" spans="1:8" x14ac:dyDescent="0.25">
      <c r="A201" s="45"/>
      <c r="B201" s="45"/>
      <c r="C201" s="73" t="s">
        <v>78</v>
      </c>
      <c r="D201" s="73"/>
      <c r="E201" s="73"/>
      <c r="F201" s="49">
        <f>+ROUND((F199-F200)/F199,4)*100</f>
        <v>10.09</v>
      </c>
      <c r="G201" s="47" t="s">
        <v>90</v>
      </c>
    </row>
    <row r="202" spans="1:8" x14ac:dyDescent="0.25">
      <c r="A202" s="45"/>
      <c r="B202" s="45"/>
      <c r="C202" s="74"/>
      <c r="D202" s="74"/>
      <c r="E202" s="74"/>
      <c r="F202" s="74"/>
      <c r="G202" s="74"/>
      <c r="H202" s="45"/>
    </row>
    <row r="203" spans="1:8" x14ac:dyDescent="0.25">
      <c r="C203" s="73" t="s">
        <v>84</v>
      </c>
      <c r="D203" s="73"/>
      <c r="E203" s="73"/>
      <c r="F203" s="61">
        <f>+F188</f>
        <v>6.3500000000000001E-2</v>
      </c>
      <c r="G203" s="61" t="s">
        <v>33</v>
      </c>
    </row>
    <row r="204" spans="1:8" x14ac:dyDescent="0.25">
      <c r="C204" s="73" t="s">
        <v>82</v>
      </c>
      <c r="D204" s="73"/>
      <c r="E204" s="73"/>
      <c r="F204" s="61">
        <f>+F190</f>
        <v>5.57E-2</v>
      </c>
      <c r="G204" s="47" t="s">
        <v>33</v>
      </c>
    </row>
    <row r="205" spans="1:8" x14ac:dyDescent="0.25">
      <c r="C205" s="73" t="s">
        <v>85</v>
      </c>
      <c r="D205" s="73"/>
      <c r="E205" s="73"/>
      <c r="F205" s="49">
        <f>+ROUND((F203-F204)/F203,4)*100</f>
        <v>12.280000000000001</v>
      </c>
      <c r="G205" s="47" t="s">
        <v>90</v>
      </c>
    </row>
    <row r="206" spans="1:8" x14ac:dyDescent="0.25">
      <c r="C206" s="74"/>
      <c r="D206" s="74"/>
      <c r="E206" s="74"/>
      <c r="F206" s="74"/>
      <c r="G206" s="74"/>
    </row>
    <row r="207" spans="1:8" x14ac:dyDescent="0.25">
      <c r="C207" s="73" t="s">
        <v>86</v>
      </c>
      <c r="D207" s="73"/>
      <c r="E207" s="73"/>
      <c r="F207" s="54">
        <f>(F205/F201)*100</f>
        <v>121.70465807730429</v>
      </c>
      <c r="G207" s="61" t="s">
        <v>90</v>
      </c>
    </row>
    <row r="210" spans="3:3" x14ac:dyDescent="0.25">
      <c r="C210" s="1" t="s">
        <v>92</v>
      </c>
    </row>
    <row r="211" spans="3:3" x14ac:dyDescent="0.25">
      <c r="C211" s="1" t="s">
        <v>93</v>
      </c>
    </row>
    <row r="212" spans="3:3" x14ac:dyDescent="0.25">
      <c r="C212" s="1" t="s">
        <v>94</v>
      </c>
    </row>
    <row r="214" spans="3:3" x14ac:dyDescent="0.25">
      <c r="C214" s="1" t="s">
        <v>95</v>
      </c>
    </row>
    <row r="215" spans="3:3" x14ac:dyDescent="0.25">
      <c r="C215" s="1" t="s">
        <v>96</v>
      </c>
    </row>
    <row r="216" spans="3:3" x14ac:dyDescent="0.25">
      <c r="C216" s="1" t="s">
        <v>97</v>
      </c>
    </row>
    <row r="218" spans="3:3" x14ac:dyDescent="0.25">
      <c r="C218" s="1" t="s">
        <v>98</v>
      </c>
    </row>
  </sheetData>
  <mergeCells count="50">
    <mergeCell ref="C203:E203"/>
    <mergeCell ref="C204:E204"/>
    <mergeCell ref="C205:E205"/>
    <mergeCell ref="C207:E207"/>
    <mergeCell ref="C202:G202"/>
    <mergeCell ref="C206:G206"/>
    <mergeCell ref="C199:E199"/>
    <mergeCell ref="C200:E200"/>
    <mergeCell ref="C201:E201"/>
    <mergeCell ref="C197:G197"/>
    <mergeCell ref="C198:G198"/>
    <mergeCell ref="B30:B41"/>
    <mergeCell ref="C190:E190"/>
    <mergeCell ref="C186:E186"/>
    <mergeCell ref="C188:E188"/>
    <mergeCell ref="B2:J2"/>
    <mergeCell ref="B4:B5"/>
    <mergeCell ref="C4:C5"/>
    <mergeCell ref="B6:B17"/>
    <mergeCell ref="B18:B29"/>
    <mergeCell ref="B123:B124"/>
    <mergeCell ref="C123:C124"/>
    <mergeCell ref="C45:E45"/>
    <mergeCell ref="C46:E46"/>
    <mergeCell ref="C47:E47"/>
    <mergeCell ref="C48:G48"/>
    <mergeCell ref="C49:E49"/>
    <mergeCell ref="C50:E50"/>
    <mergeCell ref="C51:E51"/>
    <mergeCell ref="C52:E52"/>
    <mergeCell ref="C120:M120"/>
    <mergeCell ref="G122:I122"/>
    <mergeCell ref="J122:M122"/>
    <mergeCell ref="T172:T183"/>
    <mergeCell ref="B125:B136"/>
    <mergeCell ref="B137:B148"/>
    <mergeCell ref="B149:B160"/>
    <mergeCell ref="D166:H166"/>
    <mergeCell ref="J166:O166"/>
    <mergeCell ref="B168:T168"/>
    <mergeCell ref="O169:R169"/>
    <mergeCell ref="C191:E191"/>
    <mergeCell ref="B170:B171"/>
    <mergeCell ref="C170:C171"/>
    <mergeCell ref="B172:B183"/>
    <mergeCell ref="C193:E193"/>
    <mergeCell ref="C195:E195"/>
    <mergeCell ref="C189:E189"/>
    <mergeCell ref="C187:E187"/>
    <mergeCell ref="J169:L1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Sanayi Örnek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kazim karabekir buyukunal</dc:creator>
  <cp:lastModifiedBy>ersoy metin</cp:lastModifiedBy>
  <dcterms:created xsi:type="dcterms:W3CDTF">2015-06-05T18:19:34Z</dcterms:created>
  <dcterms:modified xsi:type="dcterms:W3CDTF">2026-06-23T11:43:08Z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LabelXML">
    <vt:lpwstr>&lt;?xml version="1.0" encoding="us-ascii"?&gt;&lt;sisl xmlns:xsd="http://www.w3.org/2001/XMLSchema" xmlns:xsi="http://www.w3.org/2001/XMLSchema-instance" sislVersion="0" policy="0eb61d8a-ba7e-4e5e-a00c-28f3e6e8fb63" origin="userSelected" xmlns="http://www.boldonj</vt:lpwstr>
  </property>
  <property fmtid="{D5CDD505-2E9C-101B-9397-08002B2CF9AE}" pid="3" name="bjDocumentLabelXML-0">
    <vt:lpwstr>ames.com/2008/01/sie/internal/label"&gt;&lt;element uid="id_unclassified" value="" &gt;&lt;/element&gt;&lt;/sisl&gt;</vt:lpwstr>
  </property>
  <property fmtid="{D5CDD505-2E9C-101B-9397-08002B2CF9AE}" pid="4" name="bjLabelRefreshRequired">
    <vt:lpwstr>FileClassifier</vt:lpwstr>
  </property>
</Properties>
</file>